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rgenhofkens/Downloads/"/>
    </mc:Choice>
  </mc:AlternateContent>
  <xr:revisionPtr revIDLastSave="0" documentId="8_{B5ABAE4F-380F-AE44-B61F-4073632636A1}" xr6:coauthVersionLast="45" xr6:coauthVersionMax="45" xr10:uidLastSave="{00000000-0000-0000-0000-000000000000}"/>
  <bookViews>
    <workbookView xWindow="0" yWindow="0" windowWidth="51200" windowHeight="27800" xr2:uid="{00000000-000D-0000-FFFF-FFFF00000000}"/>
  </bookViews>
  <sheets>
    <sheet name="Params" sheetId="1" r:id="rId1"/>
    <sheet name="GIG COST" sheetId="2" r:id="rId2"/>
    <sheet name="Cloud Unit Definitions" sheetId="3" r:id="rId3"/>
    <sheet name="CloudUnits Capacity" sheetId="4" r:id="rId4"/>
    <sheet name="CALCULATION" sheetId="5" r:id="rId5"/>
    <sheet name="COMPONENTS" sheetId="6" r:id="rId6"/>
    <sheet name="CPU" sheetId="7" r:id="rId7"/>
  </sheets>
  <definedNames>
    <definedName name="_xlnm._FilterDatabase" localSheetId="5" hidden="1">COMPONENTS!$A$1:$R$144</definedName>
    <definedName name="Chassis_Type">Params!$C$13</definedName>
    <definedName name="costmulti" localSheetId="1">'GIG COST'!$F$3</definedName>
    <definedName name="costmulti">#REF!</definedName>
    <definedName name="CUSTNAME">Params!$C$4</definedName>
    <definedName name="GID">#REF!</definedName>
    <definedName name="GIGEXCHANGE">Params!$C$57</definedName>
    <definedName name="HDD_RAWtoNET">CALCULATION!$U$60</definedName>
    <definedName name="LOCNAME">#REF!</definedName>
    <definedName name="MEM_CPU_pctPer1TStorage">CALCULATION!$U$61</definedName>
    <definedName name="NORM_GIG_COST_COMPUTE">CALCULATION!$I$64</definedName>
    <definedName name="NORM_GIG_COST_NETWORK">CALCULATION!$I$67</definedName>
    <definedName name="NORM_GIG_COST_OVERHEAD">CALCULATION!$I$68</definedName>
    <definedName name="NORM_GIG_COST_SAN">CALCULATION!$I$65</definedName>
    <definedName name="NORM_GIG_COST_STORAGE">CALCULATION!$I$66</definedName>
    <definedName name="NR_SSD">CALCULATION!$I$59</definedName>
    <definedName name="percTU">Params!$C$58</definedName>
    <definedName name="POWERCOST">Params!$C$6</definedName>
    <definedName name="RACKCOST">Params!$C$5</definedName>
    <definedName name="SPARE">Params!$C$9</definedName>
    <definedName name="SSD_RAWtoNET">CALCULATION!$U$59</definedName>
    <definedName name="TBBW">Params!$C$7</definedName>
    <definedName name="TOT_CORES">CALCULATION!$U$64</definedName>
    <definedName name="TOT_MEM">CALCULATION!$T$64</definedName>
    <definedName name="TOT_PASSMARK">CALCULATION!$V$64</definedName>
    <definedName name="TOT_SSD">CALCULATION!$R$65</definedName>
    <definedName name="TOT_STOR">CALCULATION!$S$66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7" l="1"/>
  <c r="M22" i="7" s="1"/>
  <c r="G22" i="7"/>
  <c r="E22" i="7"/>
  <c r="D22" i="7"/>
  <c r="L22" i="7" s="1"/>
  <c r="C22" i="7"/>
  <c r="M21" i="7"/>
  <c r="I21" i="7"/>
  <c r="H21" i="7"/>
  <c r="G21" i="7"/>
  <c r="E21" i="7"/>
  <c r="D21" i="7"/>
  <c r="L21" i="7" s="1"/>
  <c r="C21" i="7"/>
  <c r="M20" i="7"/>
  <c r="I20" i="7"/>
  <c r="H20" i="7"/>
  <c r="G20" i="7"/>
  <c r="E20" i="7"/>
  <c r="D20" i="7"/>
  <c r="L20" i="7" s="1"/>
  <c r="C20" i="7"/>
  <c r="I19" i="7"/>
  <c r="H19" i="7"/>
  <c r="G19" i="7"/>
  <c r="F19" i="7"/>
  <c r="D19" i="7"/>
  <c r="C19" i="7"/>
  <c r="H18" i="7"/>
  <c r="M18" i="7" s="1"/>
  <c r="G18" i="7"/>
  <c r="E18" i="7"/>
  <c r="L18" i="7" s="1"/>
  <c r="D18" i="7"/>
  <c r="C18" i="7"/>
  <c r="H17" i="7"/>
  <c r="M17" i="7" s="1"/>
  <c r="G17" i="7"/>
  <c r="E17" i="7"/>
  <c r="L17" i="7" s="1"/>
  <c r="D17" i="7"/>
  <c r="C17" i="7"/>
  <c r="H16" i="7"/>
  <c r="M16" i="7" s="1"/>
  <c r="G16" i="7"/>
  <c r="E16" i="7"/>
  <c r="L16" i="7" s="1"/>
  <c r="D16" i="7"/>
  <c r="C16" i="7"/>
  <c r="H15" i="7"/>
  <c r="G15" i="7"/>
  <c r="D15" i="7"/>
  <c r="C15" i="7"/>
  <c r="H14" i="7"/>
  <c r="G14" i="7"/>
  <c r="D14" i="7"/>
  <c r="C14" i="7"/>
  <c r="C13" i="7"/>
  <c r="P11" i="7"/>
  <c r="J11" i="7"/>
  <c r="P10" i="7"/>
  <c r="J10" i="7"/>
  <c r="P9" i="7"/>
  <c r="J9" i="7"/>
  <c r="P8" i="7"/>
  <c r="O8" i="7"/>
  <c r="E19" i="7" s="1"/>
  <c r="J8" i="7"/>
  <c r="P7" i="7"/>
  <c r="J7" i="7"/>
  <c r="P6" i="7"/>
  <c r="J6" i="7"/>
  <c r="J5" i="7"/>
  <c r="O4" i="7"/>
  <c r="E15" i="7" s="1"/>
  <c r="L15" i="7" s="1"/>
  <c r="J4" i="7"/>
  <c r="P3" i="7"/>
  <c r="O3" i="7"/>
  <c r="E14" i="7" s="1"/>
  <c r="L14" i="7" s="1"/>
  <c r="J3" i="7"/>
  <c r="F144" i="6"/>
  <c r="D144" i="6"/>
  <c r="F143" i="6"/>
  <c r="D143" i="6"/>
  <c r="P142" i="6"/>
  <c r="F142" i="6"/>
  <c r="D142" i="6"/>
  <c r="P141" i="6"/>
  <c r="F141" i="6"/>
  <c r="D141" i="6"/>
  <c r="P140" i="6"/>
  <c r="F140" i="6"/>
  <c r="D140" i="6"/>
  <c r="F139" i="6"/>
  <c r="D139" i="6"/>
  <c r="P138" i="6"/>
  <c r="G138" i="6"/>
  <c r="F138" i="6"/>
  <c r="D138" i="6"/>
  <c r="F137" i="6"/>
  <c r="D137" i="6"/>
  <c r="F136" i="6"/>
  <c r="D136" i="6"/>
  <c r="F135" i="6"/>
  <c r="D135" i="6"/>
  <c r="F134" i="6"/>
  <c r="D134" i="6"/>
  <c r="F133" i="6"/>
  <c r="D133" i="6"/>
  <c r="F132" i="6"/>
  <c r="E132" i="6"/>
  <c r="D132" i="6"/>
  <c r="F131" i="6"/>
  <c r="D131" i="6"/>
  <c r="P130" i="6"/>
  <c r="F130" i="6"/>
  <c r="D130" i="6"/>
  <c r="F129" i="6"/>
  <c r="D129" i="6"/>
  <c r="P128" i="6"/>
  <c r="F128" i="6"/>
  <c r="D128" i="6"/>
  <c r="F127" i="6"/>
  <c r="D127" i="6"/>
  <c r="F126" i="6"/>
  <c r="E126" i="6"/>
  <c r="D126" i="6"/>
  <c r="F125" i="6"/>
  <c r="D125" i="6"/>
  <c r="F124" i="6"/>
  <c r="E124" i="6"/>
  <c r="D124" i="6"/>
  <c r="F123" i="6"/>
  <c r="E123" i="6"/>
  <c r="D123" i="6"/>
  <c r="P122" i="6"/>
  <c r="F122" i="6"/>
  <c r="D122" i="6"/>
  <c r="P121" i="6"/>
  <c r="F121" i="6"/>
  <c r="D121" i="6"/>
  <c r="P120" i="6"/>
  <c r="F120" i="6"/>
  <c r="D120" i="6"/>
  <c r="F119" i="6"/>
  <c r="D119" i="6"/>
  <c r="P118" i="6"/>
  <c r="F118" i="6"/>
  <c r="E118" i="6" s="1"/>
  <c r="D118" i="6" s="1"/>
  <c r="F117" i="6"/>
  <c r="E117" i="6"/>
  <c r="D117" i="6" s="1"/>
  <c r="F116" i="6"/>
  <c r="E116" i="6"/>
  <c r="D116" i="6"/>
  <c r="F115" i="6"/>
  <c r="E115" i="6"/>
  <c r="D115" i="6" s="1"/>
  <c r="F114" i="6"/>
  <c r="E114" i="6"/>
  <c r="D114" i="6"/>
  <c r="F113" i="6"/>
  <c r="E113" i="6"/>
  <c r="D113" i="6" s="1"/>
  <c r="F112" i="6"/>
  <c r="E112" i="6"/>
  <c r="D112" i="6"/>
  <c r="G111" i="6"/>
  <c r="F111" i="6"/>
  <c r="D111" i="6"/>
  <c r="P110" i="6"/>
  <c r="F110" i="6"/>
  <c r="D110" i="6"/>
  <c r="P109" i="6"/>
  <c r="G109" i="6"/>
  <c r="F109" i="6" s="1"/>
  <c r="D109" i="6"/>
  <c r="F108" i="6"/>
  <c r="E108" i="6"/>
  <c r="D108" i="6" s="1"/>
  <c r="F107" i="6"/>
  <c r="E107" i="6"/>
  <c r="D107" i="6"/>
  <c r="F106" i="6"/>
  <c r="E106" i="6"/>
  <c r="D106" i="6" s="1"/>
  <c r="F105" i="6"/>
  <c r="E105" i="6"/>
  <c r="D105" i="6"/>
  <c r="P104" i="6"/>
  <c r="F104" i="6"/>
  <c r="E104" i="6"/>
  <c r="D104" i="6"/>
  <c r="P103" i="6"/>
  <c r="F103" i="6"/>
  <c r="E103" i="6"/>
  <c r="D103" i="6"/>
  <c r="P102" i="6"/>
  <c r="F102" i="6"/>
  <c r="D102" i="6"/>
  <c r="F100" i="6"/>
  <c r="E100" i="6"/>
  <c r="D100" i="6"/>
  <c r="G99" i="6"/>
  <c r="F99" i="6"/>
  <c r="D99" i="6"/>
  <c r="P98" i="6"/>
  <c r="G98" i="6"/>
  <c r="F98" i="6"/>
  <c r="D98" i="6"/>
  <c r="G97" i="6"/>
  <c r="F97" i="6" s="1"/>
  <c r="D97" i="6"/>
  <c r="G96" i="6"/>
  <c r="F96" i="6"/>
  <c r="D96" i="6"/>
  <c r="P95" i="6"/>
  <c r="G95" i="6"/>
  <c r="G94" i="6" s="1"/>
  <c r="F94" i="6" s="1"/>
  <c r="F95" i="6"/>
  <c r="D95" i="6"/>
  <c r="D94" i="6"/>
  <c r="P93" i="6"/>
  <c r="F93" i="6"/>
  <c r="D93" i="6"/>
  <c r="P92" i="6"/>
  <c r="F92" i="6"/>
  <c r="D92" i="6"/>
  <c r="F91" i="6"/>
  <c r="E91" i="6"/>
  <c r="D91" i="6" s="1"/>
  <c r="F90" i="6"/>
  <c r="E90" i="6"/>
  <c r="D90" i="6"/>
  <c r="F89" i="6"/>
  <c r="E89" i="6"/>
  <c r="D89" i="6"/>
  <c r="F88" i="6"/>
  <c r="E88" i="6"/>
  <c r="D88" i="6"/>
  <c r="F87" i="6"/>
  <c r="D87" i="6"/>
  <c r="P86" i="6"/>
  <c r="F86" i="6"/>
  <c r="D86" i="6"/>
  <c r="G85" i="6"/>
  <c r="F85" i="6" s="1"/>
  <c r="D85" i="6"/>
  <c r="P84" i="6"/>
  <c r="F84" i="6"/>
  <c r="D84" i="6"/>
  <c r="P83" i="6"/>
  <c r="G83" i="6"/>
  <c r="F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 s="1"/>
  <c r="F78" i="6"/>
  <c r="E78" i="6"/>
  <c r="D78" i="6"/>
  <c r="N77" i="6"/>
  <c r="M77" i="6"/>
  <c r="I77" i="6"/>
  <c r="G77" i="6"/>
  <c r="F77" i="6"/>
  <c r="D77" i="6"/>
  <c r="N76" i="6"/>
  <c r="M76" i="6"/>
  <c r="I76" i="6"/>
  <c r="G76" i="6"/>
  <c r="F76" i="6" s="1"/>
  <c r="D76" i="6"/>
  <c r="N75" i="6"/>
  <c r="I75" i="6"/>
  <c r="F75" i="6"/>
  <c r="D75" i="6"/>
  <c r="N74" i="6"/>
  <c r="M74" i="6"/>
  <c r="I74" i="6"/>
  <c r="G74" i="6"/>
  <c r="F74" i="6"/>
  <c r="D74" i="6"/>
  <c r="N73" i="6"/>
  <c r="M73" i="6"/>
  <c r="I73" i="6"/>
  <c r="G73" i="6"/>
  <c r="F73" i="6" s="1"/>
  <c r="I28" i="5" s="1"/>
  <c r="D73" i="6"/>
  <c r="F72" i="6"/>
  <c r="E72" i="6"/>
  <c r="D72" i="6" s="1"/>
  <c r="F71" i="6"/>
  <c r="E71" i="6"/>
  <c r="D71" i="6"/>
  <c r="F70" i="6"/>
  <c r="E70" i="6"/>
  <c r="D70" i="6"/>
  <c r="F69" i="6"/>
  <c r="E69" i="6"/>
  <c r="D69" i="6" s="1"/>
  <c r="G68" i="6"/>
  <c r="F68" i="6"/>
  <c r="D68" i="6"/>
  <c r="G67" i="6"/>
  <c r="F67" i="6"/>
  <c r="D67" i="6"/>
  <c r="P66" i="6"/>
  <c r="F66" i="6"/>
  <c r="D66" i="6"/>
  <c r="P65" i="6"/>
  <c r="F65" i="6"/>
  <c r="D65" i="6"/>
  <c r="P64" i="6"/>
  <c r="G64" i="6"/>
  <c r="F64" i="6" s="1"/>
  <c r="D64" i="6"/>
  <c r="F63" i="6"/>
  <c r="D63" i="6"/>
  <c r="P62" i="6"/>
  <c r="F62" i="6"/>
  <c r="D62" i="6"/>
  <c r="F61" i="6"/>
  <c r="D61" i="6"/>
  <c r="F60" i="6"/>
  <c r="D60" i="6"/>
  <c r="F59" i="6"/>
  <c r="D59" i="6"/>
  <c r="F58" i="6"/>
  <c r="D58" i="6"/>
  <c r="F57" i="6"/>
  <c r="D57" i="6"/>
  <c r="P56" i="6"/>
  <c r="F56" i="6"/>
  <c r="D56" i="6"/>
  <c r="P55" i="6"/>
  <c r="F55" i="6"/>
  <c r="D55" i="6"/>
  <c r="P54" i="6"/>
  <c r="F54" i="6"/>
  <c r="D54" i="6"/>
  <c r="P53" i="6"/>
  <c r="F53" i="6"/>
  <c r="D53" i="6"/>
  <c r="P52" i="6"/>
  <c r="F52" i="6"/>
  <c r="D52" i="6"/>
  <c r="P51" i="6"/>
  <c r="F51" i="6"/>
  <c r="D51" i="6"/>
  <c r="F50" i="6"/>
  <c r="D50" i="6"/>
  <c r="P49" i="6"/>
  <c r="F49" i="6"/>
  <c r="D49" i="6"/>
  <c r="P48" i="6"/>
  <c r="F48" i="6"/>
  <c r="D48" i="6"/>
  <c r="P47" i="6"/>
  <c r="F47" i="6"/>
  <c r="D47" i="6"/>
  <c r="P46" i="6"/>
  <c r="F46" i="6"/>
  <c r="D46" i="6"/>
  <c r="P45" i="6"/>
  <c r="F45" i="6"/>
  <c r="D45" i="6"/>
  <c r="P44" i="6"/>
  <c r="F44" i="6"/>
  <c r="D44" i="6"/>
  <c r="P43" i="6"/>
  <c r="F43" i="6"/>
  <c r="D43" i="6"/>
  <c r="P42" i="6"/>
  <c r="G42" i="6"/>
  <c r="F42" i="6" s="1"/>
  <c r="D42" i="6"/>
  <c r="P41" i="6"/>
  <c r="F41" i="6"/>
  <c r="D41" i="6"/>
  <c r="P40" i="6"/>
  <c r="F40" i="6"/>
  <c r="D40" i="6"/>
  <c r="P39" i="6"/>
  <c r="F39" i="6"/>
  <c r="D39" i="6"/>
  <c r="P38" i="6"/>
  <c r="F38" i="6"/>
  <c r="D38" i="6"/>
  <c r="P37" i="6"/>
  <c r="F37" i="6"/>
  <c r="D37" i="6"/>
  <c r="F36" i="6"/>
  <c r="D36" i="6"/>
  <c r="P35" i="6"/>
  <c r="F35" i="6"/>
  <c r="D35" i="6"/>
  <c r="P34" i="6"/>
  <c r="G34" i="6"/>
  <c r="F34" i="6" s="1"/>
  <c r="D34" i="6"/>
  <c r="P33" i="6"/>
  <c r="F33" i="6"/>
  <c r="D33" i="6"/>
  <c r="F32" i="6"/>
  <c r="D32" i="6"/>
  <c r="P31" i="6"/>
  <c r="F31" i="6"/>
  <c r="D31" i="6"/>
  <c r="G30" i="6"/>
  <c r="F30" i="6" s="1"/>
  <c r="D30" i="6"/>
  <c r="F29" i="6"/>
  <c r="D29" i="6"/>
  <c r="P28" i="6"/>
  <c r="F28" i="6"/>
  <c r="D28" i="6"/>
  <c r="P27" i="6"/>
  <c r="G27" i="6"/>
  <c r="F27" i="6" s="1"/>
  <c r="D27" i="6"/>
  <c r="P26" i="6"/>
  <c r="G26" i="6"/>
  <c r="F26" i="6" s="1"/>
  <c r="D26" i="6"/>
  <c r="G25" i="6"/>
  <c r="F25" i="6" s="1"/>
  <c r="D25" i="6"/>
  <c r="P24" i="6"/>
  <c r="F24" i="6"/>
  <c r="D24" i="6"/>
  <c r="P23" i="6"/>
  <c r="F23" i="6"/>
  <c r="D23" i="6"/>
  <c r="F22" i="6"/>
  <c r="D22" i="6"/>
  <c r="N21" i="6"/>
  <c r="M21" i="6"/>
  <c r="I21" i="6"/>
  <c r="G21" i="6"/>
  <c r="F21" i="6"/>
  <c r="D21" i="6"/>
  <c r="C21" i="6"/>
  <c r="F20" i="6"/>
  <c r="D20" i="6"/>
  <c r="N19" i="6"/>
  <c r="M19" i="6"/>
  <c r="I19" i="6"/>
  <c r="G19" i="6"/>
  <c r="F19" i="6"/>
  <c r="D19" i="6"/>
  <c r="C19" i="6"/>
  <c r="N18" i="6"/>
  <c r="M18" i="6"/>
  <c r="I18" i="6"/>
  <c r="G18" i="6"/>
  <c r="F18" i="6"/>
  <c r="D18" i="6"/>
  <c r="C18" i="6"/>
  <c r="N17" i="6"/>
  <c r="M17" i="6"/>
  <c r="I17" i="6"/>
  <c r="G17" i="6"/>
  <c r="F17" i="6" s="1"/>
  <c r="D17" i="6"/>
  <c r="C17" i="6"/>
  <c r="P16" i="6"/>
  <c r="F16" i="6"/>
  <c r="D16" i="6"/>
  <c r="F15" i="6"/>
  <c r="D15" i="6"/>
  <c r="F14" i="6"/>
  <c r="D14" i="6"/>
  <c r="P13" i="6"/>
  <c r="F13" i="6"/>
  <c r="D13" i="6"/>
  <c r="P12" i="6"/>
  <c r="F12" i="6"/>
  <c r="D12" i="6"/>
  <c r="F11" i="6"/>
  <c r="D11" i="6"/>
  <c r="P10" i="6"/>
  <c r="F10" i="6"/>
  <c r="D10" i="6"/>
  <c r="P9" i="6"/>
  <c r="F9" i="6"/>
  <c r="D9" i="6"/>
  <c r="P8" i="6"/>
  <c r="F8" i="6"/>
  <c r="D8" i="6"/>
  <c r="P7" i="6"/>
  <c r="F7" i="6"/>
  <c r="D7" i="6"/>
  <c r="P6" i="6"/>
  <c r="F6" i="6"/>
  <c r="D6" i="6"/>
  <c r="P5" i="6"/>
  <c r="F5" i="6"/>
  <c r="D5" i="6"/>
  <c r="P4" i="6"/>
  <c r="G4" i="6"/>
  <c r="F4" i="6"/>
  <c r="D4" i="6"/>
  <c r="P3" i="6"/>
  <c r="F3" i="6"/>
  <c r="D3" i="6"/>
  <c r="J56" i="5"/>
  <c r="I56" i="5"/>
  <c r="W43" i="5"/>
  <c r="V43" i="5"/>
  <c r="U43" i="5"/>
  <c r="T43" i="5"/>
  <c r="S43" i="5"/>
  <c r="R43" i="5"/>
  <c r="Q43" i="5"/>
  <c r="P43" i="5"/>
  <c r="O43" i="5"/>
  <c r="J43" i="5"/>
  <c r="H43" i="5" s="1"/>
  <c r="I43" i="5"/>
  <c r="F43" i="5"/>
  <c r="G43" i="5" s="1"/>
  <c r="D43" i="5"/>
  <c r="B43" i="5"/>
  <c r="W42" i="5"/>
  <c r="V42" i="5"/>
  <c r="U42" i="5"/>
  <c r="T42" i="5"/>
  <c r="S42" i="5"/>
  <c r="R42" i="5"/>
  <c r="Q42" i="5"/>
  <c r="P42" i="5"/>
  <c r="O42" i="5"/>
  <c r="J42" i="5"/>
  <c r="I42" i="5"/>
  <c r="F42" i="5"/>
  <c r="G42" i="5" s="1"/>
  <c r="D42" i="5"/>
  <c r="B42" i="5"/>
  <c r="W41" i="5"/>
  <c r="V41" i="5"/>
  <c r="U41" i="5"/>
  <c r="T41" i="5"/>
  <c r="S41" i="5"/>
  <c r="R41" i="5"/>
  <c r="Q41" i="5"/>
  <c r="P41" i="5"/>
  <c r="O41" i="5"/>
  <c r="J41" i="5"/>
  <c r="I41" i="5"/>
  <c r="H41" i="5"/>
  <c r="D41" i="5"/>
  <c r="B41" i="5"/>
  <c r="W40" i="5"/>
  <c r="V40" i="5"/>
  <c r="U40" i="5"/>
  <c r="T40" i="5"/>
  <c r="S40" i="5"/>
  <c r="R40" i="5"/>
  <c r="Q40" i="5"/>
  <c r="P40" i="5"/>
  <c r="O40" i="5"/>
  <c r="J40" i="5"/>
  <c r="H40" i="5" s="1"/>
  <c r="I40" i="5"/>
  <c r="D40" i="5"/>
  <c r="B40" i="5"/>
  <c r="W39" i="5"/>
  <c r="V39" i="5"/>
  <c r="U39" i="5"/>
  <c r="T39" i="5"/>
  <c r="S39" i="5"/>
  <c r="R39" i="5"/>
  <c r="Q39" i="5"/>
  <c r="P39" i="5"/>
  <c r="O39" i="5"/>
  <c r="J39" i="5"/>
  <c r="H39" i="5" s="1"/>
  <c r="I39" i="5"/>
  <c r="D39" i="5"/>
  <c r="B39" i="5"/>
  <c r="W38" i="5"/>
  <c r="V38" i="5"/>
  <c r="U38" i="5"/>
  <c r="T38" i="5"/>
  <c r="S38" i="5"/>
  <c r="R38" i="5"/>
  <c r="Q38" i="5"/>
  <c r="P38" i="5"/>
  <c r="O38" i="5"/>
  <c r="J38" i="5"/>
  <c r="H38" i="5" s="1"/>
  <c r="I38" i="5"/>
  <c r="E38" i="5"/>
  <c r="D38" i="5"/>
  <c r="B38" i="5"/>
  <c r="F37" i="5"/>
  <c r="G37" i="5" s="1"/>
  <c r="W36" i="5"/>
  <c r="V36" i="5"/>
  <c r="U36" i="5"/>
  <c r="T36" i="5"/>
  <c r="S36" i="5"/>
  <c r="R36" i="5"/>
  <c r="Q36" i="5"/>
  <c r="P36" i="5"/>
  <c r="O36" i="5"/>
  <c r="J36" i="5"/>
  <c r="H36" i="5" s="1"/>
  <c r="I36" i="5"/>
  <c r="D36" i="5"/>
  <c r="B36" i="5"/>
  <c r="L34" i="5"/>
  <c r="L35" i="5" s="1"/>
  <c r="L36" i="5" s="1"/>
  <c r="L37" i="5" s="1"/>
  <c r="F34" i="5"/>
  <c r="G34" i="5" s="1"/>
  <c r="L33" i="5"/>
  <c r="L32" i="5"/>
  <c r="L31" i="5"/>
  <c r="W28" i="5"/>
  <c r="V28" i="5"/>
  <c r="U28" i="5"/>
  <c r="T28" i="5"/>
  <c r="S28" i="5"/>
  <c r="R28" i="5"/>
  <c r="Q28" i="5"/>
  <c r="P28" i="5"/>
  <c r="O28" i="5"/>
  <c r="J28" i="5"/>
  <c r="H28" i="5" s="1"/>
  <c r="D28" i="5"/>
  <c r="B28" i="5"/>
  <c r="W27" i="5"/>
  <c r="V27" i="5"/>
  <c r="U27" i="5"/>
  <c r="T27" i="5"/>
  <c r="S27" i="5"/>
  <c r="R27" i="5"/>
  <c r="Q27" i="5"/>
  <c r="P27" i="5"/>
  <c r="O27" i="5"/>
  <c r="J27" i="5"/>
  <c r="H27" i="5" s="1"/>
  <c r="I27" i="5"/>
  <c r="D27" i="5"/>
  <c r="B27" i="5"/>
  <c r="W22" i="5"/>
  <c r="V22" i="5"/>
  <c r="U22" i="5"/>
  <c r="T22" i="5"/>
  <c r="S22" i="5"/>
  <c r="R22" i="5"/>
  <c r="Q22" i="5"/>
  <c r="P22" i="5"/>
  <c r="O22" i="5"/>
  <c r="J22" i="5"/>
  <c r="I22" i="5"/>
  <c r="H22" i="5"/>
  <c r="D22" i="5"/>
  <c r="B22" i="5"/>
  <c r="D10" i="3"/>
  <c r="D8" i="3"/>
  <c r="F39" i="2"/>
  <c r="G39" i="2" s="1"/>
  <c r="G45" i="2" s="1"/>
  <c r="C47" i="1"/>
  <c r="N44" i="1"/>
  <c r="L44" i="1"/>
  <c r="K44" i="1"/>
  <c r="J44" i="1"/>
  <c r="I44" i="1"/>
  <c r="H44" i="1"/>
  <c r="K43" i="1"/>
  <c r="J43" i="1"/>
  <c r="K42" i="1"/>
  <c r="J42" i="1"/>
  <c r="K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V15" i="1"/>
  <c r="V16" i="1" s="1"/>
  <c r="K15" i="1"/>
  <c r="J15" i="1"/>
  <c r="K14" i="1"/>
  <c r="J14" i="1"/>
  <c r="K13" i="1"/>
  <c r="J13" i="1"/>
  <c r="C13" i="1"/>
  <c r="E26" i="5" s="1"/>
  <c r="F45" i="2" l="1"/>
  <c r="C14" i="1"/>
  <c r="C2" i="5" s="1"/>
  <c r="S2" i="5" s="1"/>
  <c r="C15" i="1"/>
  <c r="E13" i="5" s="1"/>
  <c r="V17" i="1"/>
  <c r="U61" i="5"/>
  <c r="C35" i="5"/>
  <c r="C34" i="5"/>
  <c r="E30" i="5"/>
  <c r="E28" i="5"/>
  <c r="C26" i="5"/>
  <c r="C25" i="5"/>
  <c r="C17" i="5"/>
  <c r="E15" i="5"/>
  <c r="C14" i="5"/>
  <c r="C15" i="5"/>
  <c r="E27" i="5"/>
  <c r="C18" i="5"/>
  <c r="I2" i="5"/>
  <c r="F38" i="5"/>
  <c r="G38" i="5" s="1"/>
  <c r="N38" i="5"/>
  <c r="L42" i="5"/>
  <c r="L38" i="5"/>
  <c r="N42" i="5"/>
  <c r="H42" i="5"/>
  <c r="M19" i="7"/>
  <c r="L19" i="7"/>
  <c r="M14" i="7"/>
  <c r="M15" i="7"/>
  <c r="I14" i="7"/>
  <c r="I15" i="7"/>
  <c r="I16" i="7"/>
  <c r="I17" i="7"/>
  <c r="I18" i="7"/>
  <c r="I22" i="7"/>
  <c r="W2" i="5" l="1"/>
  <c r="P2" i="5"/>
  <c r="Q2" i="5"/>
  <c r="R2" i="5"/>
  <c r="B2" i="5"/>
  <c r="D2" i="5"/>
  <c r="J2" i="5"/>
  <c r="T2" i="5"/>
  <c r="U2" i="5"/>
  <c r="V2" i="5"/>
  <c r="O2" i="5"/>
  <c r="U25" i="5"/>
  <c r="Q25" i="5"/>
  <c r="T25" i="5"/>
  <c r="O25" i="5"/>
  <c r="I25" i="5"/>
  <c r="B25" i="5"/>
  <c r="S25" i="5"/>
  <c r="W25" i="5"/>
  <c r="R25" i="5"/>
  <c r="V25" i="5"/>
  <c r="P25" i="5"/>
  <c r="J25" i="5"/>
  <c r="D25" i="5"/>
  <c r="T34" i="5"/>
  <c r="P34" i="5"/>
  <c r="B34" i="5"/>
  <c r="V34" i="5"/>
  <c r="R34" i="5"/>
  <c r="I34" i="5"/>
  <c r="M34" i="5" s="1"/>
  <c r="D34" i="5"/>
  <c r="U34" i="5"/>
  <c r="Q34" i="5"/>
  <c r="W34" i="5"/>
  <c r="J34" i="5"/>
  <c r="S34" i="5"/>
  <c r="O34" i="5"/>
  <c r="W14" i="5"/>
  <c r="S14" i="5"/>
  <c r="O14" i="5"/>
  <c r="J14" i="5"/>
  <c r="U14" i="5"/>
  <c r="P14" i="5"/>
  <c r="I14" i="5"/>
  <c r="T14" i="5"/>
  <c r="B14" i="5"/>
  <c r="R14" i="5"/>
  <c r="D14" i="5"/>
  <c r="V14" i="5"/>
  <c r="Q14" i="5"/>
  <c r="T26" i="5"/>
  <c r="P26" i="5"/>
  <c r="S26" i="5"/>
  <c r="R26" i="5"/>
  <c r="J26" i="5"/>
  <c r="D26" i="5"/>
  <c r="W26" i="5"/>
  <c r="Q26" i="5"/>
  <c r="I26" i="5"/>
  <c r="B26" i="5"/>
  <c r="V26" i="5"/>
  <c r="O26" i="5"/>
  <c r="U26" i="5"/>
  <c r="W35" i="5"/>
  <c r="S35" i="5"/>
  <c r="O35" i="5"/>
  <c r="J35" i="5"/>
  <c r="H35" i="5" s="1"/>
  <c r="B35" i="5"/>
  <c r="U35" i="5"/>
  <c r="Q35" i="5"/>
  <c r="D35" i="5"/>
  <c r="T35" i="5"/>
  <c r="P35" i="5"/>
  <c r="V35" i="5"/>
  <c r="R35" i="5"/>
  <c r="I35" i="5"/>
  <c r="L41" i="5"/>
  <c r="L39" i="5"/>
  <c r="M38" i="5"/>
  <c r="I29" i="5"/>
  <c r="I30" i="5" s="1"/>
  <c r="E18" i="5"/>
  <c r="C16" i="1"/>
  <c r="C3" i="5" s="1"/>
  <c r="V18" i="1"/>
  <c r="W18" i="5"/>
  <c r="S18" i="5"/>
  <c r="O18" i="5"/>
  <c r="J18" i="5"/>
  <c r="H18" i="5" s="1"/>
  <c r="B18" i="5"/>
  <c r="V18" i="5"/>
  <c r="Q18" i="5"/>
  <c r="U18" i="5"/>
  <c r="P18" i="5"/>
  <c r="I18" i="5"/>
  <c r="D18" i="5"/>
  <c r="T18" i="5"/>
  <c r="R18" i="5"/>
  <c r="H2" i="5"/>
  <c r="M42" i="5"/>
  <c r="L40" i="5"/>
  <c r="L43" i="5" s="1"/>
  <c r="V15" i="5"/>
  <c r="R15" i="5"/>
  <c r="I15" i="5"/>
  <c r="U15" i="5"/>
  <c r="P15" i="5"/>
  <c r="J15" i="5"/>
  <c r="H15" i="5" s="1"/>
  <c r="D15" i="5"/>
  <c r="T15" i="5"/>
  <c r="O15" i="5"/>
  <c r="S15" i="5"/>
  <c r="B15" i="5"/>
  <c r="W15" i="5"/>
  <c r="Q15" i="5"/>
  <c r="T17" i="5"/>
  <c r="P17" i="5"/>
  <c r="V17" i="5"/>
  <c r="Q17" i="5"/>
  <c r="J17" i="5"/>
  <c r="H17" i="5" s="1"/>
  <c r="U17" i="5"/>
  <c r="O17" i="5"/>
  <c r="I17" i="5"/>
  <c r="D17" i="5"/>
  <c r="S17" i="5"/>
  <c r="B17" i="5"/>
  <c r="W17" i="5"/>
  <c r="R17" i="5"/>
  <c r="F27" i="5"/>
  <c r="G27" i="5" s="1"/>
  <c r="F28" i="5"/>
  <c r="G28" i="5" s="1"/>
  <c r="F26" i="5"/>
  <c r="G26" i="5" s="1"/>
  <c r="L25" i="5"/>
  <c r="L26" i="5" s="1"/>
  <c r="L27" i="5" s="1"/>
  <c r="L28" i="5" s="1"/>
  <c r="N28" i="5" s="1"/>
  <c r="F25" i="5"/>
  <c r="G25" i="5" s="1"/>
  <c r="L2" i="5"/>
  <c r="L3" i="5" s="1"/>
  <c r="L4" i="5" s="1"/>
  <c r="L5" i="5" s="1"/>
  <c r="F2" i="5"/>
  <c r="G2" i="5" s="1"/>
  <c r="N2" i="5" l="1"/>
  <c r="T29" i="5"/>
  <c r="T30" i="5" s="1"/>
  <c r="N27" i="5"/>
  <c r="S29" i="5"/>
  <c r="S30" i="5" s="1"/>
  <c r="M28" i="5"/>
  <c r="V29" i="5"/>
  <c r="V30" i="5" s="1"/>
  <c r="M26" i="5"/>
  <c r="P29" i="5"/>
  <c r="P30" i="5" s="1"/>
  <c r="H26" i="5"/>
  <c r="N26" i="5"/>
  <c r="L6" i="5"/>
  <c r="L7" i="5"/>
  <c r="L8" i="5" s="1"/>
  <c r="L9" i="5" s="1"/>
  <c r="L10" i="5" s="1"/>
  <c r="L11" i="5" s="1"/>
  <c r="N43" i="5"/>
  <c r="M43" i="5"/>
  <c r="C17" i="1"/>
  <c r="V19" i="1"/>
  <c r="V3" i="5"/>
  <c r="R3" i="5"/>
  <c r="I3" i="5"/>
  <c r="D3" i="5"/>
  <c r="U3" i="5"/>
  <c r="Q3" i="5"/>
  <c r="P3" i="5"/>
  <c r="S3" i="5"/>
  <c r="J3" i="5"/>
  <c r="W3" i="5"/>
  <c r="O3" i="5"/>
  <c r="T3" i="5"/>
  <c r="B3" i="5"/>
  <c r="M2" i="5"/>
  <c r="R29" i="5"/>
  <c r="R30" i="5" s="1"/>
  <c r="M25" i="5"/>
  <c r="U29" i="5"/>
  <c r="U30" i="5" s="1"/>
  <c r="H14" i="5"/>
  <c r="M27" i="5"/>
  <c r="N34" i="5"/>
  <c r="H34" i="5"/>
  <c r="J29" i="5"/>
  <c r="J30" i="5" s="1"/>
  <c r="H25" i="5"/>
  <c r="N25" i="5"/>
  <c r="W29" i="5"/>
  <c r="W30" i="5" s="1"/>
  <c r="O29" i="5"/>
  <c r="O30" i="5" s="1"/>
  <c r="H29" i="5" l="1"/>
  <c r="H30" i="5" s="1"/>
  <c r="I54" i="5"/>
  <c r="I68" i="5"/>
  <c r="F14" i="2" s="1"/>
  <c r="J54" i="5"/>
  <c r="J68" i="5"/>
  <c r="C18" i="1"/>
  <c r="V20" i="1"/>
  <c r="G14" i="2" l="1"/>
  <c r="I14" i="2" s="1"/>
  <c r="C19" i="1"/>
  <c r="E3" i="5" s="1"/>
  <c r="V21" i="1"/>
  <c r="N3" i="5" l="1"/>
  <c r="M3" i="5"/>
  <c r="F3" i="5"/>
  <c r="G3" i="5" s="1"/>
  <c r="E5" i="5"/>
  <c r="C20" i="1"/>
  <c r="C4" i="5" s="1"/>
  <c r="V22" i="1"/>
  <c r="C21" i="1" l="1"/>
  <c r="E4" i="5" s="1"/>
  <c r="V23" i="1"/>
  <c r="U4" i="5"/>
  <c r="Q4" i="5"/>
  <c r="D4" i="5"/>
  <c r="T4" i="5"/>
  <c r="P4" i="5"/>
  <c r="S4" i="5"/>
  <c r="J4" i="5"/>
  <c r="H4" i="5" s="1"/>
  <c r="B4" i="5"/>
  <c r="R4" i="5"/>
  <c r="I4" i="5"/>
  <c r="W4" i="5"/>
  <c r="O4" i="5"/>
  <c r="V4" i="5"/>
  <c r="E6" i="5"/>
  <c r="F5" i="5"/>
  <c r="G5" i="5" s="1"/>
  <c r="C22" i="1" l="1"/>
  <c r="C10" i="5" s="1"/>
  <c r="V24" i="1"/>
  <c r="F6" i="5"/>
  <c r="G6" i="5" s="1"/>
  <c r="M4" i="5"/>
  <c r="N4" i="5"/>
  <c r="F4" i="5"/>
  <c r="G4" i="5" s="1"/>
  <c r="C23" i="1" l="1"/>
  <c r="E10" i="5" s="1"/>
  <c r="V25" i="1"/>
  <c r="T10" i="5"/>
  <c r="P10" i="5"/>
  <c r="W10" i="5"/>
  <c r="S10" i="5"/>
  <c r="O10" i="5"/>
  <c r="J10" i="5"/>
  <c r="H10" i="5" s="1"/>
  <c r="B10" i="5"/>
  <c r="V10" i="5"/>
  <c r="R10" i="5"/>
  <c r="I10" i="5"/>
  <c r="Q10" i="5"/>
  <c r="U10" i="5"/>
  <c r="D10" i="5"/>
  <c r="C24" i="1" l="1"/>
  <c r="C11" i="5" s="1"/>
  <c r="V26" i="1"/>
  <c r="I60" i="5"/>
  <c r="E33" i="5" s="1"/>
  <c r="I59" i="5"/>
  <c r="N10" i="5"/>
  <c r="M10" i="5"/>
  <c r="F10" i="5"/>
  <c r="G10" i="5" s="1"/>
  <c r="V11" i="5" l="1"/>
  <c r="R11" i="5"/>
  <c r="U11" i="5"/>
  <c r="P11" i="5"/>
  <c r="J11" i="5"/>
  <c r="H11" i="5" s="1"/>
  <c r="B11" i="5"/>
  <c r="T11" i="5"/>
  <c r="O11" i="5"/>
  <c r="I11" i="5"/>
  <c r="S11" i="5"/>
  <c r="D11" i="5"/>
  <c r="Q11" i="5"/>
  <c r="W11" i="5"/>
  <c r="F33" i="5"/>
  <c r="G33" i="5" s="1"/>
  <c r="C25" i="1"/>
  <c r="E11" i="5" s="1"/>
  <c r="V27" i="1"/>
  <c r="N11" i="5" l="1"/>
  <c r="M11" i="5"/>
  <c r="F11" i="5"/>
  <c r="G11" i="5" s="1"/>
  <c r="C26" i="1"/>
  <c r="C9" i="5" s="1"/>
  <c r="V28" i="1"/>
  <c r="U9" i="5" l="1"/>
  <c r="Q9" i="5"/>
  <c r="D9" i="5"/>
  <c r="T9" i="5"/>
  <c r="P9" i="5"/>
  <c r="W9" i="5"/>
  <c r="S9" i="5"/>
  <c r="O9" i="5"/>
  <c r="J9" i="5"/>
  <c r="H9" i="5" s="1"/>
  <c r="B9" i="5"/>
  <c r="V9" i="5"/>
  <c r="R9" i="5"/>
  <c r="I9" i="5"/>
  <c r="C27" i="1"/>
  <c r="E9" i="5" s="1"/>
  <c r="V29" i="1"/>
  <c r="C28" i="1" l="1"/>
  <c r="C8" i="5" s="1"/>
  <c r="V30" i="1"/>
  <c r="I61" i="5"/>
  <c r="M9" i="5"/>
  <c r="I52" i="5" s="1"/>
  <c r="N9" i="5"/>
  <c r="J52" i="5" s="1"/>
  <c r="F9" i="5"/>
  <c r="G9" i="5" s="1"/>
  <c r="C29" i="1" l="1"/>
  <c r="E8" i="5" s="1"/>
  <c r="V31" i="1"/>
  <c r="V8" i="5"/>
  <c r="R8" i="5"/>
  <c r="I8" i="5"/>
  <c r="U8" i="5"/>
  <c r="Q8" i="5"/>
  <c r="D8" i="5"/>
  <c r="T8" i="5"/>
  <c r="P8" i="5"/>
  <c r="J8" i="5"/>
  <c r="H8" i="5" s="1"/>
  <c r="W8" i="5"/>
  <c r="S8" i="5"/>
  <c r="B8" i="5"/>
  <c r="O8" i="5"/>
  <c r="C30" i="1" l="1"/>
  <c r="C7" i="5" s="1"/>
  <c r="V32" i="1"/>
  <c r="N8" i="5"/>
  <c r="M8" i="5"/>
  <c r="F8" i="5"/>
  <c r="G8" i="5" s="1"/>
  <c r="C31" i="1" l="1"/>
  <c r="E7" i="5" s="1"/>
  <c r="V33" i="1"/>
  <c r="W7" i="5"/>
  <c r="S7" i="5"/>
  <c r="O7" i="5"/>
  <c r="J7" i="5"/>
  <c r="H7" i="5" s="1"/>
  <c r="B7" i="5"/>
  <c r="V7" i="5"/>
  <c r="R7" i="5"/>
  <c r="I7" i="5"/>
  <c r="U7" i="5"/>
  <c r="Q7" i="5"/>
  <c r="D7" i="5"/>
  <c r="P7" i="5"/>
  <c r="T7" i="5"/>
  <c r="C32" i="1" l="1"/>
  <c r="V34" i="1"/>
  <c r="N7" i="5"/>
  <c r="M7" i="5"/>
  <c r="F7" i="5"/>
  <c r="G7" i="5" s="1"/>
  <c r="C33" i="1" l="1"/>
  <c r="V35" i="1"/>
  <c r="C34" i="1" l="1"/>
  <c r="V36" i="1"/>
  <c r="C35" i="1" l="1"/>
  <c r="E17" i="5" s="1"/>
  <c r="V37" i="1"/>
  <c r="I62" i="5"/>
  <c r="E24" i="5"/>
  <c r="F18" i="5" l="1"/>
  <c r="G18" i="5" s="1"/>
  <c r="E36" i="5" s="1"/>
  <c r="F14" i="5"/>
  <c r="G14" i="5" s="1"/>
  <c r="L14" i="5"/>
  <c r="F17" i="5"/>
  <c r="G17" i="5" s="1"/>
  <c r="F15" i="5"/>
  <c r="I58" i="5"/>
  <c r="E31" i="5" s="1"/>
  <c r="E35" i="5"/>
  <c r="E40" i="5" s="1"/>
  <c r="C36" i="1"/>
  <c r="C19" i="5" s="1"/>
  <c r="V38" i="1"/>
  <c r="F40" i="5" l="1"/>
  <c r="G40" i="5" s="1"/>
  <c r="M40" i="5"/>
  <c r="N40" i="5"/>
  <c r="E32" i="5"/>
  <c r="F31" i="5"/>
  <c r="G31" i="5" s="1"/>
  <c r="F36" i="5"/>
  <c r="G36" i="5" s="1"/>
  <c r="M36" i="5"/>
  <c r="N36" i="5"/>
  <c r="C37" i="1"/>
  <c r="E19" i="5" s="1"/>
  <c r="V39" i="1"/>
  <c r="V19" i="5"/>
  <c r="R19" i="5"/>
  <c r="I19" i="5"/>
  <c r="W19" i="5"/>
  <c r="Q19" i="5"/>
  <c r="U19" i="5"/>
  <c r="P19" i="5"/>
  <c r="J19" i="5"/>
  <c r="H19" i="5" s="1"/>
  <c r="D19" i="5"/>
  <c r="T19" i="5"/>
  <c r="O19" i="5"/>
  <c r="B19" i="5"/>
  <c r="S19" i="5"/>
  <c r="G15" i="5"/>
  <c r="F27" i="4"/>
  <c r="L15" i="5"/>
  <c r="M14" i="5"/>
  <c r="N14" i="5"/>
  <c r="F35" i="5"/>
  <c r="G35" i="5" s="1"/>
  <c r="M35" i="5"/>
  <c r="E39" i="5"/>
  <c r="N35" i="5"/>
  <c r="F39" i="5" l="1"/>
  <c r="G39" i="5" s="1"/>
  <c r="M39" i="5"/>
  <c r="N39" i="5"/>
  <c r="L16" i="5"/>
  <c r="L17" i="5" s="1"/>
  <c r="M15" i="5"/>
  <c r="N15" i="5"/>
  <c r="F28" i="4"/>
  <c r="F19" i="5"/>
  <c r="G19" i="5" s="1"/>
  <c r="F32" i="5"/>
  <c r="G32" i="5" s="1"/>
  <c r="C38" i="1"/>
  <c r="C20" i="5" s="1"/>
  <c r="V40" i="1"/>
  <c r="U20" i="5" l="1"/>
  <c r="Q20" i="5"/>
  <c r="D20" i="5"/>
  <c r="W20" i="5"/>
  <c r="R20" i="5"/>
  <c r="V20" i="5"/>
  <c r="P20" i="5"/>
  <c r="J20" i="5"/>
  <c r="H20" i="5" s="1"/>
  <c r="T20" i="5"/>
  <c r="O20" i="5"/>
  <c r="I20" i="5"/>
  <c r="B20" i="5"/>
  <c r="S20" i="5"/>
  <c r="V41" i="1"/>
  <c r="C39" i="1"/>
  <c r="E20" i="5" s="1"/>
  <c r="L18" i="5"/>
  <c r="N17" i="5"/>
  <c r="M17" i="5"/>
  <c r="F25" i="4"/>
  <c r="F20" i="5" l="1"/>
  <c r="G20" i="5" s="1"/>
  <c r="C40" i="1"/>
  <c r="C21" i="5" s="1"/>
  <c r="V42" i="1"/>
  <c r="D27" i="2"/>
  <c r="K38" i="2"/>
  <c r="L22" i="5"/>
  <c r="L21" i="5" s="1"/>
  <c r="L19" i="5" s="1"/>
  <c r="N18" i="5"/>
  <c r="M18" i="5"/>
  <c r="T21" i="5" l="1"/>
  <c r="P21" i="5"/>
  <c r="W21" i="5"/>
  <c r="R21" i="5"/>
  <c r="V21" i="5"/>
  <c r="Q21" i="5"/>
  <c r="J21" i="5"/>
  <c r="H21" i="5" s="1"/>
  <c r="U21" i="5"/>
  <c r="O21" i="5"/>
  <c r="I21" i="5"/>
  <c r="D21" i="5"/>
  <c r="B21" i="5"/>
  <c r="S21" i="5"/>
  <c r="L20" i="5"/>
  <c r="N19" i="5"/>
  <c r="M19" i="5"/>
  <c r="V43" i="1"/>
  <c r="C41" i="1"/>
  <c r="E21" i="5" s="1"/>
  <c r="M21" i="5" l="1"/>
  <c r="E22" i="5"/>
  <c r="N21" i="5"/>
  <c r="F21" i="5"/>
  <c r="G21" i="5" s="1"/>
  <c r="M20" i="5"/>
  <c r="N20" i="5"/>
  <c r="V44" i="1"/>
  <c r="C42" i="1"/>
  <c r="C16" i="5" s="1"/>
  <c r="V45" i="1" l="1"/>
  <c r="C43" i="1"/>
  <c r="E16" i="5" s="1"/>
  <c r="M22" i="5"/>
  <c r="N22" i="5"/>
  <c r="F22" i="5"/>
  <c r="G22" i="5" s="1"/>
  <c r="U16" i="5"/>
  <c r="Q16" i="5"/>
  <c r="D16" i="5"/>
  <c r="V16" i="5"/>
  <c r="P16" i="5"/>
  <c r="J16" i="5"/>
  <c r="H16" i="5" s="1"/>
  <c r="T16" i="5"/>
  <c r="O16" i="5"/>
  <c r="I16" i="5"/>
  <c r="S16" i="5"/>
  <c r="B16" i="5"/>
  <c r="W16" i="5"/>
  <c r="R16" i="5"/>
  <c r="M16" i="5" l="1"/>
  <c r="N16" i="5"/>
  <c r="J53" i="5" s="1"/>
  <c r="J66" i="5" s="1"/>
  <c r="P23" i="5"/>
  <c r="P24" i="5" s="1"/>
  <c r="W23" i="5"/>
  <c r="W24" i="5" s="1"/>
  <c r="I23" i="5"/>
  <c r="I24" i="5" s="1"/>
  <c r="T23" i="5"/>
  <c r="T24" i="5" s="1"/>
  <c r="J23" i="5"/>
  <c r="J24" i="5" s="1"/>
  <c r="V23" i="5"/>
  <c r="V24" i="5" s="1"/>
  <c r="R23" i="5"/>
  <c r="R24" i="5" s="1"/>
  <c r="U23" i="5"/>
  <c r="U24" i="5" s="1"/>
  <c r="O23" i="5"/>
  <c r="O24" i="5" s="1"/>
  <c r="S23" i="5"/>
  <c r="S24" i="5" s="1"/>
  <c r="H23" i="5"/>
  <c r="H24" i="5" s="1"/>
  <c r="F16" i="5"/>
  <c r="G16" i="5" s="1"/>
  <c r="C44" i="1"/>
  <c r="U60" i="5" s="1"/>
  <c r="V46" i="1"/>
  <c r="V48" i="1" s="1"/>
  <c r="V49" i="1" l="1"/>
  <c r="V50" i="1" s="1"/>
  <c r="V51" i="1" s="1"/>
  <c r="V52" i="1" s="1"/>
  <c r="C46" i="1"/>
  <c r="C37" i="5" l="1"/>
  <c r="C31" i="5"/>
  <c r="C5" i="5"/>
  <c r="C6" i="5"/>
  <c r="V53" i="1"/>
  <c r="C52" i="1"/>
  <c r="T6" i="5" l="1"/>
  <c r="P6" i="5"/>
  <c r="W6" i="5"/>
  <c r="S6" i="5"/>
  <c r="O6" i="5"/>
  <c r="J6" i="5"/>
  <c r="B6" i="5"/>
  <c r="V6" i="5"/>
  <c r="R6" i="5"/>
  <c r="I6" i="5"/>
  <c r="M6" i="5" s="1"/>
  <c r="U6" i="5"/>
  <c r="D6" i="5"/>
  <c r="Q6" i="5"/>
  <c r="U5" i="5"/>
  <c r="T5" i="5"/>
  <c r="P5" i="5"/>
  <c r="W5" i="5"/>
  <c r="S5" i="5"/>
  <c r="O5" i="5"/>
  <c r="J5" i="5"/>
  <c r="B5" i="5"/>
  <c r="V5" i="5"/>
  <c r="D5" i="5"/>
  <c r="R5" i="5"/>
  <c r="I5" i="5"/>
  <c r="Q5" i="5"/>
  <c r="C33" i="5"/>
  <c r="V31" i="5"/>
  <c r="R31" i="5"/>
  <c r="I31" i="5"/>
  <c r="T31" i="5"/>
  <c r="P31" i="5"/>
  <c r="W31" i="5"/>
  <c r="S31" i="5"/>
  <c r="O31" i="5"/>
  <c r="J31" i="5"/>
  <c r="B31" i="5"/>
  <c r="Q31" i="5"/>
  <c r="D31" i="5"/>
  <c r="U31" i="5"/>
  <c r="C32" i="5"/>
  <c r="W37" i="5"/>
  <c r="S37" i="5"/>
  <c r="O37" i="5"/>
  <c r="J37" i="5"/>
  <c r="U37" i="5"/>
  <c r="Q37" i="5"/>
  <c r="T37" i="5"/>
  <c r="P37" i="5"/>
  <c r="B37" i="5"/>
  <c r="D37" i="5"/>
  <c r="I37" i="5"/>
  <c r="M37" i="5" s="1"/>
  <c r="V37" i="5"/>
  <c r="R37" i="5"/>
  <c r="V12" i="5" l="1"/>
  <c r="V13" i="5" s="1"/>
  <c r="V48" i="5" s="1"/>
  <c r="V64" i="5" s="1"/>
  <c r="F9" i="4" s="1"/>
  <c r="S12" i="5"/>
  <c r="S13" i="5" s="1"/>
  <c r="H31" i="5"/>
  <c r="N31" i="5"/>
  <c r="T33" i="5"/>
  <c r="P33" i="5"/>
  <c r="V33" i="5"/>
  <c r="R33" i="5"/>
  <c r="I33" i="5"/>
  <c r="M33" i="5" s="1"/>
  <c r="U33" i="5"/>
  <c r="Q33" i="5"/>
  <c r="D33" i="5"/>
  <c r="S33" i="5"/>
  <c r="O33" i="5"/>
  <c r="B33" i="5"/>
  <c r="W33" i="5"/>
  <c r="J33" i="5"/>
  <c r="U12" i="5"/>
  <c r="U13" i="5" s="1"/>
  <c r="U48" i="5" s="1"/>
  <c r="U64" i="5" s="1"/>
  <c r="F8" i="4" s="1"/>
  <c r="W12" i="5"/>
  <c r="W13" i="5" s="1"/>
  <c r="M31" i="5"/>
  <c r="H6" i="5"/>
  <c r="N6" i="5"/>
  <c r="P12" i="5"/>
  <c r="P13" i="5" s="1"/>
  <c r="H5" i="5"/>
  <c r="N5" i="5"/>
  <c r="J12" i="5"/>
  <c r="J13" i="5" s="1"/>
  <c r="H37" i="5"/>
  <c r="N37" i="5"/>
  <c r="U32" i="5"/>
  <c r="Q32" i="5"/>
  <c r="D32" i="5"/>
  <c r="W32" i="5"/>
  <c r="W44" i="5" s="1"/>
  <c r="W45" i="5" s="1"/>
  <c r="W48" i="5" s="1"/>
  <c r="S32" i="5"/>
  <c r="O32" i="5"/>
  <c r="J32" i="5"/>
  <c r="B32" i="5"/>
  <c r="V32" i="5"/>
  <c r="R32" i="5"/>
  <c r="I32" i="5"/>
  <c r="M32" i="5" s="1"/>
  <c r="T32" i="5"/>
  <c r="P32" i="5"/>
  <c r="M5" i="5"/>
  <c r="I12" i="5"/>
  <c r="I13" i="5" s="1"/>
  <c r="R12" i="5"/>
  <c r="R13" i="5" s="1"/>
  <c r="O12" i="5"/>
  <c r="O13" i="5" s="1"/>
  <c r="T12" i="5"/>
  <c r="T13" i="5" s="1"/>
  <c r="T64" i="5" s="1"/>
  <c r="H12" i="5" l="1"/>
  <c r="H13" i="5" s="1"/>
  <c r="W49" i="5"/>
  <c r="E41" i="5"/>
  <c r="H32" i="5"/>
  <c r="N32" i="5"/>
  <c r="H33" i="5"/>
  <c r="N33" i="5"/>
  <c r="F10" i="4"/>
  <c r="F11" i="4"/>
  <c r="F30" i="4" l="1"/>
  <c r="F13" i="4"/>
  <c r="F14" i="4" s="1"/>
  <c r="F6" i="4"/>
  <c r="F12" i="4" s="1"/>
  <c r="F32" i="4"/>
  <c r="F41" i="5"/>
  <c r="G41" i="5" s="1"/>
  <c r="M41" i="5"/>
  <c r="N41" i="5"/>
  <c r="J55" i="5" s="1"/>
  <c r="P44" i="5"/>
  <c r="P45" i="5" s="1"/>
  <c r="P48" i="5" s="1"/>
  <c r="F43" i="4" s="1"/>
  <c r="G16" i="2" s="1"/>
  <c r="I16" i="2" s="1"/>
  <c r="H44" i="5"/>
  <c r="H45" i="5" s="1"/>
  <c r="H48" i="5" s="1"/>
  <c r="H49" i="5" s="1"/>
  <c r="U44" i="5"/>
  <c r="U45" i="5" s="1"/>
  <c r="J44" i="5"/>
  <c r="J45" i="5" s="1"/>
  <c r="J48" i="5" s="1"/>
  <c r="J49" i="5" s="1"/>
  <c r="T44" i="5"/>
  <c r="T45" i="5" s="1"/>
  <c r="T48" i="5" s="1"/>
  <c r="S44" i="5"/>
  <c r="S45" i="5" s="1"/>
  <c r="S48" i="5" s="1"/>
  <c r="S66" i="5" s="1"/>
  <c r="F20" i="4" s="1"/>
  <c r="R44" i="5"/>
  <c r="R45" i="5" s="1"/>
  <c r="R48" i="5" s="1"/>
  <c r="R65" i="5" s="1"/>
  <c r="F34" i="4" s="1"/>
  <c r="F36" i="4" s="1"/>
  <c r="I44" i="5"/>
  <c r="I45" i="5" s="1"/>
  <c r="I48" i="5" s="1"/>
  <c r="I49" i="5" s="1"/>
  <c r="V44" i="5"/>
  <c r="V45" i="5" s="1"/>
  <c r="O44" i="5"/>
  <c r="O45" i="5" s="1"/>
  <c r="O48" i="5" s="1"/>
  <c r="O49" i="5" l="1"/>
  <c r="F42" i="4"/>
  <c r="G15" i="2" s="1"/>
  <c r="I15" i="2" s="1"/>
  <c r="J51" i="5"/>
  <c r="J64" i="5" s="1"/>
  <c r="J67" i="5"/>
  <c r="K36" i="2"/>
  <c r="D26" i="2"/>
  <c r="F21" i="4"/>
  <c r="F18" i="4"/>
  <c r="I51" i="5"/>
  <c r="I53" i="5"/>
  <c r="I66" i="5" s="1"/>
  <c r="I55" i="5"/>
  <c r="I67" i="5"/>
  <c r="F13" i="2" s="1"/>
  <c r="I64" i="5" l="1"/>
  <c r="F10" i="2" s="1"/>
  <c r="G13" i="2"/>
  <c r="I13" i="2" s="1"/>
  <c r="F33" i="4"/>
  <c r="K37" i="2"/>
  <c r="D28" i="2"/>
  <c r="F31" i="4"/>
  <c r="F35" i="4"/>
  <c r="F37" i="4"/>
  <c r="J65" i="5" l="1"/>
  <c r="I65" i="5"/>
  <c r="F11" i="2" s="1"/>
  <c r="G11" i="2" s="1"/>
  <c r="G10" i="2"/>
  <c r="I10" i="2" s="1"/>
  <c r="F12" i="2" l="1"/>
  <c r="G12" i="2" s="1"/>
  <c r="I12" i="2" s="1"/>
  <c r="I11" i="2"/>
  <c r="F18" i="2" l="1"/>
  <c r="F20" i="2" s="1"/>
  <c r="J12" i="2"/>
  <c r="G37" i="2" s="1"/>
  <c r="G43" i="2" s="1"/>
  <c r="F30" i="2"/>
  <c r="J10" i="2"/>
  <c r="G36" i="2" s="1"/>
  <c r="G42" i="2" s="1"/>
  <c r="F23" i="2"/>
  <c r="F28" i="2" s="1"/>
  <c r="F37" i="2" s="1"/>
  <c r="J11" i="2"/>
  <c r="G38" i="2" s="1"/>
  <c r="G44" i="2" s="1"/>
  <c r="G18" i="2"/>
  <c r="G20" i="2" s="1"/>
  <c r="I28" i="2" l="1"/>
  <c r="F43" i="2"/>
  <c r="M37" i="2"/>
  <c r="F26" i="2"/>
  <c r="F27" i="2"/>
  <c r="F36" i="2" l="1"/>
  <c r="F31" i="2"/>
  <c r="G26" i="2"/>
  <c r="F38" i="2"/>
  <c r="G27" i="2"/>
  <c r="G28" i="2"/>
  <c r="J28" i="2" s="1"/>
  <c r="F44" i="2" l="1"/>
  <c r="J27" i="2"/>
  <c r="I27" i="2"/>
  <c r="M38" i="2"/>
  <c r="F42" i="2"/>
  <c r="J26" i="2"/>
  <c r="I26" i="2"/>
  <c r="M36" i="2"/>
  <c r="M39" i="2" l="1"/>
  <c r="M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0" authorId="0" shapeId="0" xr:uid="{00000000-0006-0000-0100-000001000000}">
      <text>
        <r>
          <rPr>
            <sz val="10"/>
            <color rgb="FF000000"/>
            <rFont val="Arial"/>
          </rPr>
          <t>5% gets replaced over lifetime / 48 months
	-Kristof De Spiegeleer</t>
        </r>
      </text>
    </comment>
    <comment ref="F41" authorId="0" shapeId="0" xr:uid="{00000000-0006-0000-0100-000002000000}">
      <text>
        <r>
          <rPr>
            <sz val="10"/>
            <color rgb="FF000000"/>
            <rFont val="Arial"/>
          </rPr>
          <t>formulat should be ParamsB9 &gt; 1 ... not = 1
	-Jurgen Hofkens
also in discussion with Akash - volumedrive IOPS Max for Eugene is today 50k IOPS
	-Jurgen Hofkens
please use in all calculators fargo release, we are working for what we want to ship end of summer
	-Kristof De Spiegeleer
dont understand remark about B9, where is it used?
	-Kristof De Spiegeleer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" authorId="0" shapeId="0" xr:uid="{00000000-0006-0000-0400-000001000000}">
      <text>
        <r>
          <rPr>
            <sz val="10"/>
            <color rgb="FF000000"/>
            <rFont val="Arial"/>
          </rPr>
          <t>Cost Category
C = Compute
H = SAN
S = Storage</t>
        </r>
      </text>
    </comment>
    <comment ref="C16" authorId="0" shapeId="0" xr:uid="{00000000-0006-0000-0400-000002000000}">
      <text>
        <r>
          <rPr>
            <sz val="10"/>
            <color rgb="FF000000"/>
            <rFont val="Arial"/>
          </rPr>
          <t>+lzonneke@racktivity.com need to be reliable nvme will get lots of beating
	-Kristof De Spiegeleer</t>
        </r>
      </text>
    </comment>
    <comment ref="U61" authorId="0" shapeId="0" xr:uid="{00000000-0006-0000-0400-000003000000}">
      <text>
        <r>
          <rPr>
            <sz val="10"/>
            <color rgb="FF000000"/>
            <rFont val="Arial"/>
          </rPr>
          <t>10% if arakoon is running on the cpu nodes
	-Jurgen Hofkens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2" authorId="0" shapeId="0" xr:uid="{00000000-0006-0000-0500-000001000000}">
      <text>
        <r>
          <rPr>
            <sz val="10"/>
            <color rgb="FF000000"/>
            <rFont val="Arial"/>
          </rPr>
          <t>+lzonneke@racktivity.com need to check price &amp; where we can order it NOW
	-Kristof De Spiegeleer
requested pricing and availability for this chassis
	-Lesley Zonnekein
got pricing from Roel, barebone, no cpu no mem,  5260 EUR, to be clear this casing is for 6xSSD's or 4xSSD+2xNVMe per node, there are 3 in stock for now so we could have those in one week if ordering today
	-Lesley Zonnekein</t>
        </r>
      </text>
    </comment>
    <comment ref="P12" authorId="0" shapeId="0" xr:uid="{00000000-0006-0000-0500-000002000000}">
      <text>
        <r>
          <rPr>
            <sz val="10"/>
            <color rgb="FF000000"/>
            <rFont val="Arial"/>
          </rPr>
          <t>+kristof@incubaid.com 
https://www.supermicro.nl/products/system/2U/2028/SYS-2028TP-HTR.cfm
this is what I propose: 3600 USD
	-Lesley Zonnekein</t>
        </r>
      </text>
    </comment>
    <comment ref="G65" authorId="0" shapeId="0" xr:uid="{00000000-0006-0000-0500-000003000000}">
      <text>
        <r>
          <rPr>
            <sz val="10"/>
            <color rgb="FF000000"/>
            <rFont val="Arial"/>
          </rPr>
          <t>@lesley can we check this
	-Kristof De Spiegeleer
+lesley.zonnekein@greenitglobe.com
	-Kristof De Spiegeleer
pricing is 1255 Eur so 1422 USD
	-Lesley Zonnekein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6" authorId="0" shapeId="0" xr:uid="{00000000-0006-0000-0600-000001000000}">
      <text>
        <r>
          <rPr>
            <sz val="10"/>
            <color rgb="FF000000"/>
            <rFont val="Arial"/>
          </rPr>
          <t>did 1.8, because 2 CPU is never as effective as 1 CPU, there is loss</t>
        </r>
      </text>
    </comment>
    <comment ref="E21" authorId="0" shapeId="0" xr:uid="{00000000-0006-0000-0600-000002000000}">
      <text>
        <r>
          <rPr>
            <sz val="10"/>
            <color rgb="FF000000"/>
            <rFont val="Arial"/>
          </rPr>
          <t>+jurgen.hofkens@greenitglobe.com weird nr
	-Kristof De Spiegeleer</t>
        </r>
      </text>
    </comment>
  </commentList>
</comments>
</file>

<file path=xl/sharedStrings.xml><?xml version="1.0" encoding="utf-8"?>
<sst xmlns="http://schemas.openxmlformats.org/spreadsheetml/2006/main" count="1163" uniqueCount="639">
  <si>
    <t>Cloud Unit Definition</t>
  </si>
  <si>
    <t>CU (Compute Unit)</t>
  </si>
  <si>
    <t>GIG Cost Calculation</t>
  </si>
  <si>
    <t>HW x param</t>
  </si>
  <si>
    <t>Memory</t>
  </si>
  <si>
    <t>GIG Europe Mtc / GCOC</t>
  </si>
  <si>
    <t>Maintenance on hardware</t>
  </si>
  <si>
    <t>GB</t>
  </si>
  <si>
    <t>nr vCPU</t>
  </si>
  <si>
    <t>4 x oversubscribed</t>
  </si>
  <si>
    <t>per year</t>
  </si>
  <si>
    <t>of hardware cost</t>
  </si>
  <si>
    <t>Min Frequency</t>
  </si>
  <si>
    <t>MHz</t>
  </si>
  <si>
    <t>Max Frequency</t>
  </si>
  <si>
    <t>GCOC maintenance fee</t>
  </si>
  <si>
    <t xml:space="preserve">  </t>
  </si>
  <si>
    <t>GIG Costs</t>
  </si>
  <si>
    <t>Setup Cost</t>
  </si>
  <si>
    <t>Monthly Recurring</t>
  </si>
  <si>
    <t>TCO monthly</t>
  </si>
  <si>
    <t>TCO monthly (no R/P)</t>
  </si>
  <si>
    <t xml:space="preserve">Compute equipment </t>
  </si>
  <si>
    <t>Passmark Min</t>
  </si>
  <si>
    <t>Passmark</t>
  </si>
  <si>
    <t>Passmark Max</t>
  </si>
  <si>
    <t>SU (Storage Unit = per TB)</t>
  </si>
  <si>
    <t>Storage Capacity</t>
  </si>
  <si>
    <t>TB</t>
  </si>
  <si>
    <t>this is provisioined vDISK capacity, assuming a 2x overprovisioning towards the back-end</t>
  </si>
  <si>
    <t>ONLY CHANGE THE RED NR's</t>
  </si>
  <si>
    <t>Operator Name</t>
  </si>
  <si>
    <t>My Customer</t>
  </si>
  <si>
    <t>TU (Transaction Unit = IOPS (IO Operations Per Second))</t>
  </si>
  <si>
    <t>min IOPS per TU</t>
  </si>
  <si>
    <t>Operator cost price per Rack (internal) per month</t>
  </si>
  <si>
    <t>IOPS</t>
  </si>
  <si>
    <t>IOPS = 4k block 80% READ / 20% WRITE RANDOM</t>
  </si>
  <si>
    <t>max IOPS per TU</t>
  </si>
  <si>
    <t>Operator cost price per per kwatt/h (including PUE)</t>
  </si>
  <si>
    <t>NU (Network Unit = per TB)</t>
  </si>
  <si>
    <t>TB transferred OUT or IN</t>
  </si>
  <si>
    <t>Operator cost price per TB/month (traffic)</t>
  </si>
  <si>
    <t>Spare Capacity we want to keep in G8</t>
  </si>
  <si>
    <t>will become lower as G8 becomes bigger</t>
  </si>
  <si>
    <t>System Type</t>
  </si>
  <si>
    <t>MEDIUM-C</t>
  </si>
  <si>
    <t>STARTER-C</t>
  </si>
  <si>
    <t>STARTER</t>
  </si>
  <si>
    <t>MID-C</t>
  </si>
  <si>
    <t>MID</t>
  </si>
  <si>
    <t>GIG G8 Bluepeak CDN Node</t>
  </si>
  <si>
    <t>GIG G8 All Supermicro - XtraSmall - 100G CDN</t>
  </si>
  <si>
    <t>GIG G8 All Supermicro - Starter Base - High Storage</t>
  </si>
  <si>
    <t>MEDIUM</t>
  </si>
  <si>
    <t>GIG G8 - Storage specific</t>
  </si>
  <si>
    <t>GIG test-trial rack</t>
  </si>
  <si>
    <t>LCI</t>
  </si>
  <si>
    <t>GIG UK rack</t>
  </si>
  <si>
    <t>Compute Parameters</t>
  </si>
  <si>
    <t>Model (S-QCT, S-All)</t>
  </si>
  <si>
    <t>SAN/high speed IOPS equipment</t>
  </si>
  <si>
    <t>S-QCT</t>
  </si>
  <si>
    <t>S-All</t>
  </si>
  <si>
    <t>Storage equipment</t>
  </si>
  <si>
    <t>chassis type</t>
  </si>
  <si>
    <t>GTC100003</t>
  </si>
  <si>
    <t>GTC100006</t>
  </si>
  <si>
    <t>GTC100012</t>
  </si>
  <si>
    <t>Networking System</t>
  </si>
  <si>
    <t>chassis quantity</t>
  </si>
  <si>
    <t>Management System</t>
  </si>
  <si>
    <t>blade type / motherboard</t>
  </si>
  <si>
    <t>.</t>
  </si>
  <si>
    <t>Rackspace</t>
  </si>
  <si>
    <t>rdma (non redundant 1 otherwise 2,no rdma=0)</t>
  </si>
  <si>
    <t>Power</t>
  </si>
  <si>
    <t>Switch Series</t>
  </si>
  <si>
    <t>mx</t>
  </si>
  <si>
    <t>sn</t>
  </si>
  <si>
    <t>TOTAL</t>
  </si>
  <si>
    <t>quantity of compute nodes per chassis (1 for single, 4 for converged, max 8 for scaleout)</t>
  </si>
  <si>
    <t>cpu type</t>
  </si>
  <si>
    <t>GTC110005</t>
  </si>
  <si>
    <t>GTC110011</t>
  </si>
  <si>
    <t>cpu quantity per node</t>
  </si>
  <si>
    <t>TOTAL EUR</t>
  </si>
  <si>
    <t>cache ssd type</t>
  </si>
  <si>
    <t>GTC130016</t>
  </si>
  <si>
    <t>GTC130027</t>
  </si>
  <si>
    <t>overhead %:</t>
  </si>
  <si>
    <t>cache ssd quantity per node</t>
  </si>
  <si>
    <t>OS cache ssd type</t>
  </si>
  <si>
    <t>GTC130013</t>
  </si>
  <si>
    <t>TCO
(monthly 48 months)</t>
  </si>
  <si>
    <t>CAPEX/unit</t>
  </si>
  <si>
    <t>TCO/month/unit
incl finance cost</t>
  </si>
  <si>
    <t>Power/Rackspace+ Maintenance HW</t>
  </si>
  <si>
    <t>OS cache ssd quantity per node</t>
  </si>
  <si>
    <t>Compute (memory / CPU): CU</t>
  </si>
  <si>
    <t>nvme type</t>
  </si>
  <si>
    <t>GTC130028</t>
  </si>
  <si>
    <t>nvme quantity per node</t>
  </si>
  <si>
    <t>HDD type</t>
  </si>
  <si>
    <t>Transaction Units (High Speed SAN / IOPS): TU</t>
  </si>
  <si>
    <t>HDD quantity per node (8TB), only possible for single node system.</t>
  </si>
  <si>
    <t>memory type</t>
  </si>
  <si>
    <t>GTC120006</t>
  </si>
  <si>
    <t>GTC120010</t>
  </si>
  <si>
    <t>GTC120012</t>
  </si>
  <si>
    <t>GTC120015</t>
  </si>
  <si>
    <t>memory quantity per node</t>
  </si>
  <si>
    <t>Storage: SU</t>
  </si>
  <si>
    <t>TOTAL monthly TCO (HW + SW only)</t>
  </si>
  <si>
    <t>Storage Parameters</t>
  </si>
  <si>
    <t>TOTAL monthly TCO (includes power/rackspace/...)</t>
  </si>
  <si>
    <t>Cloud Units</t>
  </si>
  <si>
    <t>SAN Inside</t>
  </si>
  <si>
    <t>TCO for cloud units</t>
  </si>
  <si>
    <t>os ssd type</t>
  </si>
  <si>
    <t>With Rackspace/Power</t>
  </si>
  <si>
    <t>Without Rackspace/Power</t>
  </si>
  <si>
    <t>GTC130025</t>
  </si>
  <si>
    <t>CU</t>
  </si>
  <si>
    <t>cost compute unit (4GB memory, 2 virtual CPU)</t>
  </si>
  <si>
    <t>os ssd quantity per chassis</t>
  </si>
  <si>
    <t>WRITE cache ssd type</t>
  </si>
  <si>
    <t>Amazon 40-80</t>
  </si>
  <si>
    <t>WRITE cache ssd quantity per chassis</t>
  </si>
  <si>
    <t>SU</t>
  </si>
  <si>
    <t>cost per TB storage per month</t>
  </si>
  <si>
    <t>GTC130002</t>
  </si>
  <si>
    <t>GTC130007</t>
  </si>
  <si>
    <t>GTC130021</t>
  </si>
  <si>
    <t>GTC130018</t>
  </si>
  <si>
    <t>HDD quantity per chassis (12-60)</t>
  </si>
  <si>
    <t>Amazon 25-300</t>
  </si>
  <si>
    <t>TU</t>
  </si>
  <si>
    <t xml:space="preserve">cost transaction unit </t>
  </si>
  <si>
    <t>NVME type</t>
  </si>
  <si>
    <t>Amazon 5-10</t>
  </si>
  <si>
    <t>GTC130022</t>
  </si>
  <si>
    <t>GTC130017</t>
  </si>
  <si>
    <t xml:space="preserve"> </t>
  </si>
  <si>
    <t>NU</t>
  </si>
  <si>
    <t>cost per TB transfer</t>
  </si>
  <si>
    <t>Cloud Unit Capacity</t>
  </si>
  <si>
    <t>NVME quantity per chassis</t>
  </si>
  <si>
    <t>Compute Units (CU)</t>
  </si>
  <si>
    <t>Monthly TCO for units EUR</t>
  </si>
  <si>
    <t>nr of CU in system (after spare capacity, so net usable)</t>
  </si>
  <si>
    <t>Erasure Coding Overhead</t>
  </si>
  <si>
    <t>nr of logical cpu cores (hyperthreaded) available for compute</t>
  </si>
  <si>
    <t>cores</t>
  </si>
  <si>
    <t>cost transaction unit (5000 IOPS/TB, 10 GB capacity)</t>
  </si>
  <si>
    <t>total passmark compute capacity</t>
  </si>
  <si>
    <t>Bandwidth</t>
  </si>
  <si>
    <t>passmark</t>
  </si>
  <si>
    <t>nr of GB memory available</t>
  </si>
  <si>
    <t>40G</t>
  </si>
  <si>
    <t>100G</t>
  </si>
  <si>
    <t>nr 4 GB machines</t>
  </si>
  <si>
    <t>Description</t>
  </si>
  <si>
    <t>nr</t>
  </si>
  <si>
    <t>nr of cores per CU (if 4x oversubscription)</t>
  </si>
  <si>
    <t>GIG G8 All Supermicro - Starter Base - Compute Intensive</t>
  </si>
  <si>
    <t>GIG G8 All Supermicro - Starter Base - Normal Compute Power</t>
  </si>
  <si>
    <t>GIG G8 Small config - Compute Intensive</t>
  </si>
  <si>
    <t>GIG G8 Small Config - Normal Compute Power</t>
  </si>
  <si>
    <t>GIG G8 All Supermicro - Medium - Compute Intensive</t>
  </si>
  <si>
    <t>GIG G8 All Supermicro - Medium</t>
  </si>
  <si>
    <t>passmark per VM (if 4x oversubscription)</t>
  </si>
  <si>
    <t>passmark per VM min (if everyone uses 100% of capacity)</t>
  </si>
  <si>
    <t>Parameters</t>
  </si>
  <si>
    <t>Storage Units (SU)</t>
  </si>
  <si>
    <t>overrule rackspace U</t>
  </si>
  <si>
    <t>nr of SU in system (after spare capacity, so net usable)</t>
  </si>
  <si>
    <t>% of TU used for NAS</t>
  </si>
  <si>
    <t>Storage Capacity Net Usable on 1 location towards back-end</t>
  </si>
  <si>
    <t>% NAS compared to std Storage</t>
  </si>
  <si>
    <t>avg sold capacity</t>
  </si>
  <si>
    <t>avg available storage per VM (if VM = 1 CU) in this env</t>
  </si>
  <si>
    <t>average buy back from GIG exchange from remaining not sold capacity</t>
  </si>
  <si>
    <t>is without maintenance, without power, without rackspace</t>
  </si>
  <si>
    <t>percent fast TU (2GB vs 10 GB TU)</t>
  </si>
  <si>
    <t>Transaction Units (high speed SAN/IOPS) (TU)</t>
  </si>
  <si>
    <t>nr of TU in system (after spare capacity, so net usable)</t>
  </si>
  <si>
    <t>MIN IOPS</t>
  </si>
  <si>
    <t>iops</t>
  </si>
  <si>
    <t>MAX sellable IOPS if 4x oversubscription</t>
  </si>
  <si>
    <t>nr avg iops per VM (if 4x oversubscription &amp; VM uses 1 CU)</t>
  </si>
  <si>
    <t>nr avg iops per SU (if 4x oversubscription)</t>
  </si>
  <si>
    <t>per SU</t>
  </si>
  <si>
    <t>min IOPS per VM if all would be using 100%</t>
  </si>
  <si>
    <t>min IOPS per Storage Unit if all would be using 100%</t>
  </si>
  <si>
    <t>avg available High Speed SAN/Cache per VM</t>
  </si>
  <si>
    <t>GB/VM</t>
  </si>
  <si>
    <t>amount of SAN SSD per TB HDD</t>
  </si>
  <si>
    <t>avg available TU's per VM</t>
  </si>
  <si>
    <t>TU/VM</t>
  </si>
  <si>
    <t>avg available IOPS per T of Storage - 4x oversubscribed</t>
  </si>
  <si>
    <t>IOPS/1T Storage</t>
  </si>
  <si>
    <t>Used Racks &amp; Power</t>
  </si>
  <si>
    <t>nr racks</t>
  </si>
  <si>
    <t>power usage</t>
  </si>
  <si>
    <t>Kw/hr</t>
  </si>
  <si>
    <t>Type</t>
  </si>
  <si>
    <t>Category</t>
  </si>
  <si>
    <t>Reference</t>
  </si>
  <si>
    <t>Qty/chassis</t>
  </si>
  <si>
    <t>Qty/G8</t>
  </si>
  <si>
    <t>Qty/total</t>
  </si>
  <si>
    <t>Cost/pc (EUR)</t>
  </si>
  <si>
    <t>Cost/pc NET (USD)</t>
  </si>
  <si>
    <t>Cost/pc (USD)</t>
  </si>
  <si>
    <t>CC</t>
  </si>
  <si>
    <t>QTY</t>
  </si>
  <si>
    <t>U</t>
  </si>
  <si>
    <t>Link</t>
  </si>
  <si>
    <t>Storage SSD (TB)</t>
  </si>
  <si>
    <t>STORAGE HDD (TB)</t>
  </si>
  <si>
    <t>MEM (GB)</t>
  </si>
  <si>
    <t>CORES</t>
  </si>
  <si>
    <t>PASSMARK</t>
  </si>
  <si>
    <t>QTY C14</t>
  </si>
  <si>
    <t>Compute</t>
  </si>
  <si>
    <t>C</t>
  </si>
  <si>
    <t>Cost/pc NET (EUR)</t>
  </si>
  <si>
    <t>Power (W)</t>
  </si>
  <si>
    <t>MEM</t>
  </si>
  <si>
    <t>Reference (OLD)</t>
  </si>
  <si>
    <t>DELETE</t>
  </si>
  <si>
    <t>Chassis</t>
  </si>
  <si>
    <t>Motherboard + Xeon D + 4 nic (2 10gbit) + IPMI</t>
  </si>
  <si>
    <t>SO_MB_CPU</t>
  </si>
  <si>
    <t>Motherboard + Xeon D + 4 nic (2 1gbit) + IPMI</t>
  </si>
  <si>
    <t>SO_MB_GIG Starter</t>
  </si>
  <si>
    <t>Case 1U (4 disk slot)</t>
  </si>
  <si>
    <t>SO_Case</t>
  </si>
  <si>
    <t>Case 1U (4 disk slot) Dual power supply</t>
  </si>
  <si>
    <t>SO_Case_2P</t>
  </si>
  <si>
    <t>MicroCloud 28 nodes in 6U (for CPU Xeon D) including management module + 8 power supplies + 2 switch</t>
  </si>
  <si>
    <t>$$$</t>
  </si>
  <si>
    <t>physical cores</t>
  </si>
  <si>
    <t>logical cores</t>
  </si>
  <si>
    <t>Frequency</t>
  </si>
  <si>
    <t>Turbo Frequency</t>
  </si>
  <si>
    <t>Mem Channels</t>
  </si>
  <si>
    <t>L2 Cache</t>
  </si>
  <si>
    <t>L3 Cache</t>
  </si>
  <si>
    <t>MC_28_Case</t>
  </si>
  <si>
    <t>Mem BW</t>
  </si>
  <si>
    <t>MAX GB Mem</t>
  </si>
  <si>
    <t>Max Power</t>
  </si>
  <si>
    <t>MicroBlade 2 xMobo, Intel Xeon D MBI-6218G-T41X - Dual 1Gb - Dual 10Gb - up to 128B RAM - 1xSSD</t>
  </si>
  <si>
    <t>Intel Xeon D-1541</t>
  </si>
  <si>
    <t>MC_blade_2CPU</t>
  </si>
  <si>
    <t>MicroBlade 1 xMobo, Intel Xeon D MBI-6118G-T41X - Dual 1Gb - Dual 10Gb - up to 128B RAM - 3xSSD</t>
  </si>
  <si>
    <t>Intel Xeon D-1581</t>
  </si>
  <si>
    <t>MC_blade_1CPU</t>
  </si>
  <si>
    <t>Converged Chassis + MB + NICS (4 nodes on 4 U, 2 CPU each)</t>
  </si>
  <si>
    <t>Single Node Hyper Converged Chassis + MB (2 CPU)</t>
  </si>
  <si>
    <t>GTC110006</t>
  </si>
  <si>
    <t>Intel Xeon E5-2620 v4 (C16 2100)</t>
  </si>
  <si>
    <t>http://www.supermicro.com.tw/products/system/4U/7048/SYS-7048R-C1R.cfm</t>
  </si>
  <si>
    <t>CNV_1Node</t>
  </si>
  <si>
    <t>SuperMicro SuperServer 2028TR-H72FR - Twin 4 node chassis + MBs, 2CPU, 2U, 6 SSD each, 2 NVME, 2 nic</t>
  </si>
  <si>
    <t>GTC110004</t>
  </si>
  <si>
    <t>Intel Xeon E5-2630 v4 (20C 2400)</t>
  </si>
  <si>
    <t>Intel Xeon E5-2650 v4 (24C 2400)</t>
  </si>
  <si>
    <t>CNV_Base</t>
  </si>
  <si>
    <t>Fattwin 8 node chassis, 6 SSD each, 2 NVME, 1 nic</t>
  </si>
  <si>
    <t>Intel Xeon E5-2660 v4 (28C 2000)</t>
  </si>
  <si>
    <t>FT_Chassis_8</t>
  </si>
  <si>
    <t>Aquarius T50 D38</t>
  </si>
  <si>
    <t>GTC110007</t>
  </si>
  <si>
    <t>Intel Xeon E5-2680 v4 (28C 2400)</t>
  </si>
  <si>
    <t>Blade for fatwin 8 node</t>
  </si>
  <si>
    <t>FT_Blade</t>
  </si>
  <si>
    <t>Shuttle Mgmt Node with SSD &amp; 16 GB Mem</t>
  </si>
  <si>
    <t>Intel Xeon E5-2699 v4 (44C 2200)</t>
  </si>
  <si>
    <t>MGMTNODE</t>
  </si>
  <si>
    <t>CPU</t>
  </si>
  <si>
    <t>GTC110001</t>
  </si>
  <si>
    <t>Intel E3 1220 v3</t>
  </si>
  <si>
    <t>Performance</t>
  </si>
  <si>
    <t>passmark single</t>
  </si>
  <si>
    <t>freq</t>
  </si>
  <si>
    <t>freq tot</t>
  </si>
  <si>
    <t>$ per 1000 Mhz</t>
  </si>
  <si>
    <t>MB overhead</t>
  </si>
  <si>
    <t>nr CPU</t>
  </si>
  <si>
    <t>$ per 1000 passmark total</t>
  </si>
  <si>
    <t>mhz/passm</t>
  </si>
  <si>
    <t>XEOND_16</t>
  </si>
  <si>
    <t>XEOND_32</t>
  </si>
  <si>
    <t>CPUE5_24</t>
  </si>
  <si>
    <t>Intel Xeon E5-2698 v3 (16C 2600)</t>
  </si>
  <si>
    <t>CPUE5_16_98</t>
  </si>
  <si>
    <t>CPUE5_44</t>
  </si>
  <si>
    <t>Samsung 16GB DDR4-2133 ECC REG 17000 2Rx4 LP RoHS</t>
  </si>
  <si>
    <t>MEM16lp</t>
  </si>
  <si>
    <t>32GB DDR4-2133 ECC REG 17000 2Rx4 VLP RoHS</t>
  </si>
  <si>
    <t>MEM32lp</t>
  </si>
  <si>
    <t>Storage - SSD</t>
  </si>
  <si>
    <t>NVME 400 (17x day)</t>
  </si>
  <si>
    <t>NVME400b</t>
  </si>
  <si>
    <t>Samsung 850 PRO - SSD 1000 GB SATA - MZ-7KE1T0</t>
  </si>
  <si>
    <t>S</t>
  </si>
  <si>
    <t>SSD1000e</t>
  </si>
  <si>
    <t>Intel® SSD DC S3610 Series (1.2TB, 2.5in SATA 6Gb/s, 16nm, MLC)</t>
  </si>
  <si>
    <t>SSD1200_Intel</t>
  </si>
  <si>
    <t>Micron M510DC , 960GB, SATA 6Gb/s, 16nm   MLC 2.5" 7mm,1DWPD</t>
  </si>
  <si>
    <t>SSD1000_Micron</t>
  </si>
  <si>
    <t>Micron M510DC , 480GB, SATA 6Gb/s, 16nm   MLC 2.5" 7mm,1DWPD</t>
  </si>
  <si>
    <t>SSD500_Micron</t>
  </si>
  <si>
    <t>SSD 800G for Sberbank</t>
  </si>
  <si>
    <t>SSD800</t>
  </si>
  <si>
    <t>3.8 TB SSD</t>
  </si>
  <si>
    <t>SSD3800</t>
  </si>
  <si>
    <t>Intel DC P3600 400GB, NVMe PCIe 3.0, MLC</t>
  </si>
  <si>
    <t>SSD04_NVMe</t>
  </si>
  <si>
    <t xml:space="preserve">Intel SSD DC P3600 1.2TB PCIE NVME 3.0 X4 2.5INCH </t>
  </si>
  <si>
    <t>H</t>
  </si>
  <si>
    <t>SSD1200_NVMe</t>
  </si>
  <si>
    <t>Samsung 950 PRO M.2 256</t>
  </si>
  <si>
    <t>m2_250</t>
  </si>
  <si>
    <t>Transcend MTS800 - Solid state drive - 512 GB -</t>
  </si>
  <si>
    <t>m2_500_Transcend</t>
  </si>
  <si>
    <t>m2_riser</t>
  </si>
  <si>
    <t>internal - M.2 - SATA 6Gb/s</t>
  </si>
  <si>
    <t>Storage - HDD</t>
  </si>
  <si>
    <t>3 TB disk</t>
  </si>
  <si>
    <t>HD3</t>
  </si>
  <si>
    <t>3 TB disk Archive</t>
  </si>
  <si>
    <t>HD3A</t>
  </si>
  <si>
    <t>HGST        Mars-KP        HUS724040ALA640</t>
  </si>
  <si>
    <t>HD4</t>
  </si>
  <si>
    <t>4 TB disk Archive</t>
  </si>
  <si>
    <t>HD4A</t>
  </si>
  <si>
    <t>Seagate drive Makara - ST6000NM0024</t>
  </si>
  <si>
    <t>HD6A</t>
  </si>
  <si>
    <t>Seagate ST8000NM0075 8 TB disk (SAS3)</t>
  </si>
  <si>
    <t>HD8</t>
  </si>
  <si>
    <t>HD8A</t>
  </si>
  <si>
    <t>Networking</t>
  </si>
  <si>
    <t>Dual Port 10 Gbit NIC Intel</t>
  </si>
  <si>
    <t>OVC Switch 5 ports (slow but capable 5 port router, gbit switch)</t>
  </si>
  <si>
    <t>x</t>
  </si>
  <si>
    <t>SW5</t>
  </si>
  <si>
    <t>OVC Switch 8 ports (3.6 gbit/sec firewall + ultra fast switch)</t>
  </si>
  <si>
    <t>SW8</t>
  </si>
  <si>
    <t>OVC Switch 8 ports (12 gbit/sec firewall + ultra fast switch)</t>
  </si>
  <si>
    <t>SW8F</t>
  </si>
  <si>
    <t>OVC Switch 24 ports (for OOB network, slow router)</t>
  </si>
  <si>
    <t>SW24</t>
  </si>
  <si>
    <t>Netgear 10 gbit switch 12 ports</t>
  </si>
  <si>
    <t>SW12_10g</t>
  </si>
  <si>
    <t>Netgear 1 gbit switch 48 ports</t>
  </si>
  <si>
    <t>SW48_1g</t>
  </si>
  <si>
    <t>Mellanox 12-port Non-blocking infiniband switch</t>
  </si>
  <si>
    <t>Total / chassis</t>
  </si>
  <si>
    <t>SW_M48i</t>
  </si>
  <si>
    <t xml:space="preserve">Mellanox 36-port Non-blocking 40/56GbE Open Ethernet Switch System </t>
  </si>
  <si>
    <t>SW_M128</t>
  </si>
  <si>
    <t>Mellanox ConnectX-3  EN MCX313A-BCBT (40 gbit single port)</t>
  </si>
  <si>
    <t>nic40gb</t>
  </si>
  <si>
    <t>QuantaMesh T3040-LY3</t>
  </si>
  <si>
    <t>Total chassis / G8</t>
  </si>
  <si>
    <t>??? to be checked ???</t>
  </si>
  <si>
    <t>SW_Q48</t>
  </si>
  <si>
    <t>QuantaMesh T5032-LY6</t>
  </si>
  <si>
    <t>SW_Q128</t>
  </si>
  <si>
    <t>Storage</t>
  </si>
  <si>
    <t>SUPERMCRO I/O CARD AOC-CIBQ-M1 FATTWIN IB 40Gb IB or 10Gb RDMA add-onn</t>
  </si>
  <si>
    <t>nic40gb_FT</t>
  </si>
  <si>
    <t>OVC controller (3 redundant nodes)</t>
  </si>
  <si>
    <t>WIS</t>
  </si>
  <si>
    <t>Miscellaneous</t>
  </si>
  <si>
    <t>Basic Installation &amp; Logistics (external cost)</t>
  </si>
  <si>
    <t>INST</t>
  </si>
  <si>
    <t>INST2</t>
  </si>
  <si>
    <t>Virtual SAN Storage SW (OVS) per TB SAN</t>
  </si>
  <si>
    <t>OVS_S</t>
  </si>
  <si>
    <t>Virtual SAN Storage SW (OVS) per TB Object</t>
  </si>
  <si>
    <t>OVS_B</t>
  </si>
  <si>
    <t>GTC100001</t>
  </si>
  <si>
    <t>Gooxi Management Chassis, 1U, 3 nodes - SY103-S06</t>
  </si>
  <si>
    <t>MGMTNODE_BB</t>
  </si>
  <si>
    <t>GTC100002</t>
  </si>
  <si>
    <t>QuantaPlex Storage Chassis, 4U, 2 nodes, 70+4 disks - T21P-4U</t>
  </si>
  <si>
    <t>https://www.qct.io/product/index/Storage/Storage-Server/4U-Storage-Server/QuantaPlex-T21P-4U</t>
  </si>
  <si>
    <t>QCT Storage Server T21P-4U 4U Twin Dual Xeon E5v3 Ultra high density storage server with 70 x 3,5 Hotswap</t>
  </si>
  <si>
    <t>STOR70</t>
  </si>
  <si>
    <t>Supermicro SuperServer Chassis, 2U, 4 nodes - SYS-2028TR-HTR</t>
  </si>
  <si>
    <t>CNV_BASE_NoNVME</t>
  </si>
  <si>
    <t>GTC100005</t>
  </si>
  <si>
    <t>Supermicro SuperServer Chassis, 1U, 1 node, NVMe support - SYS-1028R-WTNR</t>
  </si>
  <si>
    <t>SO_Case_1U</t>
  </si>
  <si>
    <t>Supermicro SuperServer Chassis, 1U, 1 node - SYS-1028R-WTR</t>
  </si>
  <si>
    <t>SO_Case_1U_noNVME</t>
  </si>
  <si>
    <t>GTC100007</t>
  </si>
  <si>
    <t>Supermicro SuperStrorage Chassis 4U, 6048R-E1CR36L</t>
  </si>
  <si>
    <t>https://www.supermicro.com/products/system/4u/6048/ssg-6048r-e1cr36n.cfm</t>
  </si>
  <si>
    <t>GTC100008</t>
  </si>
  <si>
    <t>Supermicro Superserver 1U, SYS-5019S-WR</t>
  </si>
  <si>
    <t>https://www.supermicro.com/products/system/1U/5019/SYS-5019S-WR.cfm</t>
  </si>
  <si>
    <t>GTC100009</t>
  </si>
  <si>
    <t>SuperServer 2029BT-HNTR - including assembly and accessories</t>
  </si>
  <si>
    <t>https://www.supermicro.com/products/system/2U/2029/SYS-2029BT-HNTR.cfm</t>
  </si>
  <si>
    <t>GTC100010</t>
  </si>
  <si>
    <t>SuperStorage 6029P-E1CR24H - including assembly and accessories</t>
  </si>
  <si>
    <t>https://www.supermicro.com/products/system/2U/6029/SSG-6029P-E1CR24H.cfm</t>
  </si>
  <si>
    <t>GTC100011</t>
  </si>
  <si>
    <t>SuperServer 5019C-MR</t>
  </si>
  <si>
    <t>https://www.supermicro.com/products/system/1U/5019/SYS-5019C-MR.cfm</t>
  </si>
  <si>
    <t>SuperServer 2029BT-HNR - including assembly and accessories</t>
  </si>
  <si>
    <t>https://www.supermicro.com/products/system/2U/2029/SYS-2029BT-HNR.cfm</t>
  </si>
  <si>
    <t>Intel Xeon Processor, 3.10GHz, 8MB cache, LGA1150 - E3-1220V3</t>
  </si>
  <si>
    <t>CPUE3</t>
  </si>
  <si>
    <t>Intel Xeon Processor, 2.20Ghz, 25MB cache, LGA2011-3 - E5-2630V4</t>
  </si>
  <si>
    <t>CPUE5_20</t>
  </si>
  <si>
    <t>Intel Xeon Processor, 2.00GHz, 35MB cache, LGA2011-3 - E5-2660V4</t>
  </si>
  <si>
    <t>CPUE5_28</t>
  </si>
  <si>
    <t>Intel Xeon Processor, 2.10GHz, 20MB cache, LGA2011-3 - E5-2620V4</t>
  </si>
  <si>
    <t>CPUE5_16</t>
  </si>
  <si>
    <t>Intel Xeon Processor, 2.40GHz, 35MB cache, LGA2011-3 - E5-2680V4</t>
  </si>
  <si>
    <t>CPUE5_28_2.4</t>
  </si>
  <si>
    <t>GTC110008</t>
  </si>
  <si>
    <t>Intel Skylake P4X-SKL5120-SR3GD intel XEON GOLD 5120</t>
  </si>
  <si>
    <t>https://ark.intel.com/content/www/us/en/ark/products/120474/intel-xeon-gold-5120-processor-19-25m-cache-2-20-ghz.html</t>
  </si>
  <si>
    <t>GTC110009</t>
  </si>
  <si>
    <t>Intel Skylake P4X-SKL4114-SR3GK  intel XEON SILVER 4114</t>
  </si>
  <si>
    <t>https://ark.intel.com/content/www/us/en/ark/products/123550/intel-xeon-silver-4114-processor-13-75m-cache-2-20-ghz.html</t>
  </si>
  <si>
    <t>GTC110010</t>
  </si>
  <si>
    <t>Intel P4X-UPE2124-SR3WQ intel XEON E 2124</t>
  </si>
  <si>
    <t>https://ark.intel.com/content/www/us/en/ark/products/134856/intel-xeon-e-2124-processor-8m-cache-up-to-4-30-ghz.html</t>
  </si>
  <si>
    <t>Intel Cascade Lake P4x-CLX5220-SRFBJ Intel Xeon GOLD 5220</t>
  </si>
  <si>
    <t>GTC110012</t>
  </si>
  <si>
    <t xml:space="preserve">CPU </t>
  </si>
  <si>
    <t>Intel Cascade Lake P4X-CLX4214-SRFB9 Intel Xeon SILVER 4214</t>
  </si>
  <si>
    <t>GTC120001</t>
  </si>
  <si>
    <t>Samsung Memory, 16GB, DDR4-2133 - M393A2G40DB0-CPB</t>
  </si>
  <si>
    <t>MEM16</t>
  </si>
  <si>
    <t>GTC120003</t>
  </si>
  <si>
    <t>Samsung Memory, 8GB, DDR3-1866 - M391B1G73QH0-CMA</t>
  </si>
  <si>
    <t>Samsung 8GB DDR4-2133 ECC REG 17000 1Rx4 LP RoHS</t>
  </si>
  <si>
    <t>MEM8_3</t>
  </si>
  <si>
    <t>Samsung Memory, 32GB, DDR4-2400 - M393A4K40BB1-CRC</t>
  </si>
  <si>
    <t>M393A4K40BB1-CRC</t>
  </si>
  <si>
    <t>MEM32</t>
  </si>
  <si>
    <t>GTC120009</t>
  </si>
  <si>
    <t>Samsung Memory, 8GB, DDR4-2133 - M393A1G40DB0-CPB</t>
  </si>
  <si>
    <t>MEM8</t>
  </si>
  <si>
    <t>Samsung Memory, 64GB, DDR4-2400 - M386A8K40BM1-CRC</t>
  </si>
  <si>
    <t>MEM64</t>
  </si>
  <si>
    <t>GTC120011</t>
  </si>
  <si>
    <t>Samsung Memory , 32GB, Supermicro OEM, MEM-DR432L-SL03-ER26</t>
  </si>
  <si>
    <t>https://store.supermicro.com/32gb-ddr4-2666-mem-dr432l-sl03-er26.html</t>
  </si>
  <si>
    <t>Samsung Memory, 64GB, Supermicro OEM, MEM-DR464L-SL03-LR26</t>
  </si>
  <si>
    <t>https://store.supermicro.com/64gb-ddr4-2666-mem-dr464l-hl01-lr26.html</t>
  </si>
  <si>
    <t>GTC120013</t>
  </si>
  <si>
    <t>Samsung Memory, 8Gb, Supermicro OEM, MEM-DR480L-HL01-EU26</t>
  </si>
  <si>
    <t>https://store.supermicro.com/8gb-ddr4-2400-mem-dr480l-hl01-un24.html</t>
  </si>
  <si>
    <t>Micron Memory 128Gb, Supermicro OEM, MEM-DR412L-CL02-ER26</t>
  </si>
  <si>
    <t>Seagate HDD, 8TB, 3.5", SATA - ST8000NM0055</t>
  </si>
  <si>
    <t>HD8_SATA</t>
  </si>
  <si>
    <t>GTC130005</t>
  </si>
  <si>
    <t>Samsung SSD, 950 PRO, 512GB, M.2, NVMe - MZ-V5P512BW</t>
  </si>
  <si>
    <t>m2_500</t>
  </si>
  <si>
    <t>GTC130006</t>
  </si>
  <si>
    <t>Seagate HDD, 6TB, 3.5", SAS - ST6000NM0034</t>
  </si>
  <si>
    <t>HD6</t>
  </si>
  <si>
    <t>GTC130012</t>
  </si>
  <si>
    <t>OBSOLETE - Samsung SSD, PM863, 480GB, 2.5", SATA, PM863 - MZ-7LM480</t>
  </si>
  <si>
    <t>SSD500</t>
  </si>
  <si>
    <t>Samsung SSD, PM863a, 480GB, 2.5", SATA, PM863a - MZ7LM480HMHQ</t>
  </si>
  <si>
    <t>Samsung SSD, PM863a, 960GB, 2.5", SATA - MZ-7LM960N</t>
  </si>
  <si>
    <t>SSD1000</t>
  </si>
  <si>
    <t>Storage - NVMe</t>
  </si>
  <si>
    <t>Intel SSD, DC P3600, 800GB, 2.5", PCIe - SSDPE2ME800G401</t>
  </si>
  <si>
    <t>NVME800</t>
  </si>
  <si>
    <t>Intel SSD, DC P4600, 2TB, 2.5", PCIe - SSDPE2KE02027</t>
  </si>
  <si>
    <t>Seagate HDD, 10TB, 3.5", SATA - ST10000NM0016</t>
  </si>
  <si>
    <t>HD10_SATA</t>
  </si>
  <si>
    <t>Seagate 3.5”, 12TB, SAS-3 12Gb/s, 7.2K RPM, 256M, 512E, Performance (TATSU) ST12000NM0027</t>
  </si>
  <si>
    <t>GTC130019</t>
  </si>
  <si>
    <t>Samsung SSD, 850 PRO, 256GB, 2.5", SATA - MZ-7KE256BW</t>
  </si>
  <si>
    <t>SSD250PRO</t>
  </si>
  <si>
    <t>GTC130020</t>
  </si>
  <si>
    <t>Intel SSD, DC P3600, 400GB, NVMe PCIe 3.0 - SSDPEDME400G401</t>
  </si>
  <si>
    <t>NVME400</t>
  </si>
  <si>
    <t>Seagate HDD, 6TB, 3.5", SATA - ST6000NM0055</t>
  </si>
  <si>
    <t>HD6_SATA</t>
  </si>
  <si>
    <t>Intel SSD, D3-S4610, 960GB SATA 6Gb/s 3D TLC 2.5" 7mm 3DWPD</t>
  </si>
  <si>
    <t>https://ark.intel.com/content/www/us/en/ark/products/134917/intel-ssd-d3-s4610-series-960gb-2-5in-sata-6gb-s-3d2-tlc.html</t>
  </si>
  <si>
    <t>GTC130026</t>
  </si>
  <si>
    <t>Intel SSD, D3-S4610 480GB SATA 6Gb/s 3D TLC 2.5" 7mm 3DWPD</t>
  </si>
  <si>
    <t>https://ark.intel.com/content/www/us/en/ark/products/134919/intel-ssd-d3-s4610-series-480gb-2-5in-sata-6gb-s-3d2-tlc.html</t>
  </si>
  <si>
    <t>Controller</t>
  </si>
  <si>
    <t>Intel DC P4510 1TB NVMe PCI-E 3.1 x4 3D TLC 2.5" 15mm 1DWPD</t>
  </si>
  <si>
    <t>https://www.intel.com/content/www/us/en/products/memory-storage/solid-state-drives/data-center-ssds/dc-p4510-series/dc-p4510-1tb-2-5inch-3d2.html</t>
  </si>
  <si>
    <t>Intel® SSD DC P4101 Series - 1TB, M.2 80mm PCIe 3.0 x4, 3D2, TLC</t>
  </si>
  <si>
    <t>https://ark.intel.com/content/www/us/en/ark/products/148630/intel-ssd-dc-p4101-series-1-024tb-m-2-80mm-pcie-3-0-x4-3d2-tlc.html</t>
  </si>
  <si>
    <t>GTC160001</t>
  </si>
  <si>
    <t>NIC</t>
  </si>
  <si>
    <t>Mellanox ConnectX-3 Network Interface Card, 10GbE, dual-port SFP+ - MCX312A-XCBT</t>
  </si>
  <si>
    <t>nic10gb</t>
  </si>
  <si>
    <t>GTC160005</t>
  </si>
  <si>
    <t>Mellanox ConnectX-3 Network Interface Card, 40GbE, dual-port QSFP - MCX314A-BCCT</t>
  </si>
  <si>
    <t>O</t>
  </si>
  <si>
    <t>nic40gb2</t>
  </si>
  <si>
    <t>GTC160017</t>
  </si>
  <si>
    <t>Mellanox ConnectX-4 Network Interface Card, 10GbE, dual-port SFP+ - MCX412A-XCAT</t>
  </si>
  <si>
    <t>GTC160018</t>
  </si>
  <si>
    <t>Supermicro SIOM, 25GbE, ConnectX-4</t>
  </si>
  <si>
    <t>https://www.supermicro.com/products/accessories/addon/AOC-MH25G-m2S2T.cfm</t>
  </si>
  <si>
    <t>GTC160019</t>
  </si>
  <si>
    <t>Supermicro Add-On Card - AOC-MHIBF-m2Q2G - ConnectX-3 - 40GbE</t>
  </si>
  <si>
    <t>https://www.supermicro.com/products/accessories/addon/AOC-MHIBF-m2Q2G.cfm</t>
  </si>
  <si>
    <t>GTC160027</t>
  </si>
  <si>
    <t xml:space="preserve">Supermicro SIOM, 100GbE, ConnectX-4 VPI </t>
  </si>
  <si>
    <t>https://www.supermicro.com/products/accessories/addon/AOC-MHIBE-m1CG.cfm</t>
  </si>
  <si>
    <t>GTC160024</t>
  </si>
  <si>
    <t>Mellanox ConnectX-4 Network Interface Card, 100GbE, dual port PCIE - MCX456A-ECAT</t>
  </si>
  <si>
    <t>http://www.mellanox.com/page/products_dyn?product_family=201&amp;mtag=connectx_4_vpi_card</t>
  </si>
  <si>
    <t>GTC160025</t>
  </si>
  <si>
    <t>Mellanox ConnectX-4 Network Interface Card, 100GbE, single port PCIE - MCX456A-ECAT</t>
  </si>
  <si>
    <t>https://store.mellanox.com/products/mellanox-mcx455a-ecat-connectx-4-vpi-adapter-card-edr-ib-and-100gbe-single-port-qsfp28-pcie3-0-x16-rohs-r6.html</t>
  </si>
  <si>
    <t>GTC160026</t>
  </si>
  <si>
    <t>Supermicro SIOM, 1GbE-RJ45 AOC-MGP-i2</t>
  </si>
  <si>
    <t>GTC160006</t>
  </si>
  <si>
    <t>Mellanox Ethernet Switch, 12-port, 40/56GbE, half-width - MSX1012</t>
  </si>
  <si>
    <t>SW_M48</t>
  </si>
  <si>
    <t>GTC160023</t>
  </si>
  <si>
    <t>Mellanox Ethernet Switch , MSN2100-BB2F 16-port 40Gb</t>
  </si>
  <si>
    <t>GTC160014</t>
  </si>
  <si>
    <t>Cisco Smart Switch, 26 ports, Gb, SG220-26-K9-EU</t>
  </si>
  <si>
    <t>SW26</t>
  </si>
  <si>
    <t>GTC160015</t>
  </si>
  <si>
    <t>Cisco Smart Switch, 50 ports, Gb, SG220-50-K9-EU</t>
  </si>
  <si>
    <t>SW48</t>
  </si>
  <si>
    <t>GTC160016</t>
  </si>
  <si>
    <t>Mellanox Ethernet Switch, 36-port, 40/56GbE, full-width - MSN2700-BS2R</t>
  </si>
  <si>
    <t>SW_M2700</t>
  </si>
  <si>
    <t>GTC160020</t>
  </si>
  <si>
    <t>Supermicro Layer 2/3 1/10G Ethernet SuperSwitch - SSE-G3648B/SSE-G3648BR</t>
  </si>
  <si>
    <t>https://www.supermicro.com/products/accessories/Networking/SSE-G3648B.cfm</t>
  </si>
  <si>
    <t>GTC160021</t>
  </si>
  <si>
    <t>Mellanox Etheret Switch, 36-port,100GbE, full width - MSN2700-CS2R</t>
  </si>
  <si>
    <t>https://store.mellanox.com/products/mellanox-msn2700-cs2r-spectrum-100gbe-1u-open-ethernet-switch-with-mellanox-onyx-32-qsfp28-ports-2-power-supplies-ac-x86-cpu-standard-depth-c2p-airflow-rail-kit-rohs6.html</t>
  </si>
  <si>
    <t>GTC200001</t>
  </si>
  <si>
    <t>Mellanox Rack Installation Kit for SX1012 - MSX60-DKIT</t>
  </si>
  <si>
    <t>https://store.mellanox.com/products/mellanox-msx60-dkit-rack-installation-kit-for-switchx-2-12-ports-series-short-depth-1u-switches-allows-installation-of-one-or-two-switches-side-by-side-into-standard-depth-racks.html</t>
  </si>
  <si>
    <t>ACC-002</t>
  </si>
  <si>
    <t>GTC200002</t>
  </si>
  <si>
    <t>Mellanox Rack Installation Kit for SN Series</t>
  </si>
  <si>
    <t>GTC200005</t>
  </si>
  <si>
    <t>Mellanox Rack installation kit for switches</t>
  </si>
  <si>
    <t>GTC220022</t>
  </si>
  <si>
    <t>Cabling</t>
  </si>
  <si>
    <t>Mellanox Passive Copper Hybrid Cable, 4x10GbE QSFP to 4xSFP+, 3m - MC2609130-003</t>
  </si>
  <si>
    <t>qsfp_4</t>
  </si>
  <si>
    <t>GTC220024</t>
  </si>
  <si>
    <t>Mellanox Passive Copper Cable, 40GbE QSFP, 1m - MC2210130-001</t>
  </si>
  <si>
    <t>https://store.mellanox.com/products/mellanox-mc2210130-001-passive-copper-cable-ethernet-40gbe-qsfp-1m.html</t>
  </si>
  <si>
    <t>GTC220025</t>
  </si>
  <si>
    <t>Mellanox Passive Copper Cable, 40GbE QSFP, 3m - MC2210128-003</t>
  </si>
  <si>
    <t>qsfp_1</t>
  </si>
  <si>
    <t>GTC220026</t>
  </si>
  <si>
    <t>Mellanox Passive Copper Hybrid Cable, 10GbE QSFP to SFP+, 1m - MC2309130-001</t>
  </si>
  <si>
    <t>https://store.mellanox.com/products/mellanox-mc2309130-001-passive-copper-hybrid-cable-ethernet-10gbe-qsfp-to-sfp-1m.html</t>
  </si>
  <si>
    <t>GTC220050</t>
  </si>
  <si>
    <t>Mellanox Pasive Copper Hybrid Cable, 100GbE QSFP28, 3m</t>
  </si>
  <si>
    <t>https://store.mellanox.com/products/mellanox-mcp1600-c003e26n-passive-copper-cable-eth-100gbe-qsfp28-3m-black-26awg-ca-n.html</t>
  </si>
  <si>
    <t>GTC220029</t>
  </si>
  <si>
    <t>USB to RS232 DB9 Serial Adapter Cable, M/M - ICUSB232V2</t>
  </si>
  <si>
    <t>https://www.startech.com/be/Cards-Adapters/Serial-Cards-Adapters/USB-to-RS232-Serial-Adapter-Cable~ICUSB232V2</t>
  </si>
  <si>
    <t>GTC230005</t>
  </si>
  <si>
    <t>QuantaPlex T21P Slot 2 Mezz LSI 3008 HBA</t>
  </si>
  <si>
    <t>GTC240001</t>
  </si>
  <si>
    <t>Mellanox Technical Support and Warranty for MSX1012 - Silver 3 Year</t>
  </si>
  <si>
    <t>SW_M12_SP</t>
  </si>
  <si>
    <t>GTC240002</t>
  </si>
  <si>
    <t>Mellanox Technical Support and Warranty for MSN2700-BS2R - Silver 3 Year</t>
  </si>
  <si>
    <t>GTC240003</t>
  </si>
  <si>
    <t xml:space="preserve">Mellanox Technical Support and Warranty - Silver 3 Year with NBD On-Site Support </t>
  </si>
  <si>
    <t>KEEP - SSD2000</t>
  </si>
  <si>
    <t>2 TB SSD</t>
  </si>
  <si>
    <t>SSD2000</t>
  </si>
  <si>
    <t>KEEP - SSD2000_NVMe</t>
  </si>
  <si>
    <t xml:space="preserve">Intel SSD DC P3600 2TB PCIE NVME 3.0 X4 2.5INCH </t>
  </si>
  <si>
    <t>SSD2000_NVMe</t>
  </si>
  <si>
    <t>KEEP - STOR_NVME</t>
  </si>
  <si>
    <t>2028U-TN24R4T+ (2U, 24 NVME disks)</t>
  </si>
  <si>
    <t>STOR_NVME</t>
  </si>
  <si>
    <t>PDU_24P</t>
  </si>
  <si>
    <t>0U Racktivity Device 24 ports</t>
  </si>
  <si>
    <t>R24</t>
  </si>
  <si>
    <t>PDU_8P</t>
  </si>
  <si>
    <t>1U Racktivity Device 8 ports - ES1108</t>
  </si>
  <si>
    <t>R8</t>
  </si>
  <si>
    <t>PATCH</t>
  </si>
  <si>
    <t>Patch Cabling RJ45</t>
  </si>
  <si>
    <t>RJ45_Cable</t>
  </si>
  <si>
    <t>POWER</t>
  </si>
  <si>
    <t>Power Cabling C13-C14</t>
  </si>
  <si>
    <t>N</t>
  </si>
  <si>
    <t xml:space="preserve">Number of G8s: </t>
  </si>
  <si>
    <t>MEM (GB) for CPU</t>
  </si>
  <si>
    <t>CORES for CPU</t>
  </si>
  <si>
    <t>PASSMARK for CPU</t>
  </si>
  <si>
    <t>TOTAL / G8</t>
  </si>
  <si>
    <t>GRAND TOTAL</t>
  </si>
  <si>
    <t>Using 0RU PDUs</t>
  </si>
  <si>
    <t>TOTALS per cat</t>
  </si>
  <si>
    <t>compute</t>
  </si>
  <si>
    <t>san</t>
  </si>
  <si>
    <t>storage</t>
  </si>
  <si>
    <t>overhead</t>
  </si>
  <si>
    <t>networking</t>
  </si>
  <si>
    <t>SC</t>
  </si>
  <si>
    <t>storage compute</t>
  </si>
  <si>
    <t>nr network ports</t>
  </si>
  <si>
    <t>Assumed parameters from RAW to NET</t>
  </si>
  <si>
    <t>nr SSD</t>
  </si>
  <si>
    <t>SSD</t>
  </si>
  <si>
    <t>ssd in compute</t>
  </si>
  <si>
    <t>HDD</t>
  </si>
  <si>
    <t>san in compute</t>
  </si>
  <si>
    <t>%MEM/CPU used for STORAGE</t>
  </si>
  <si>
    <t>san in storage</t>
  </si>
  <si>
    <t>NET SSD</t>
  </si>
  <si>
    <t>NET HDD</t>
  </si>
  <si>
    <t>NET MEM</t>
  </si>
  <si>
    <t>NET CORES</t>
  </si>
  <si>
    <t>NET PSMRK</t>
  </si>
  <si>
    <t>TOTALS per cat after normalization</t>
  </si>
  <si>
    <t>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</si>
</sst>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* #,##0.00\ &quot;€&quot;_-;\-* #,##0.00\ &quot;€&quot;_-;_-* &quot;-&quot;??\ &quot;€&quot;_-;_-@_-"/>
    <numFmt numFmtId="164" formatCode="&quot;$&quot;#,##0"/>
    <numFmt numFmtId="165" formatCode="#,##0.0"/>
    <numFmt numFmtId="166" formatCode="#,##0&quot;$&quot;"/>
    <numFmt numFmtId="167" formatCode="#,##0.00&quot;$&quot;"/>
    <numFmt numFmtId="168" formatCode="&quot;$&quot;#,##0.0"/>
    <numFmt numFmtId="169" formatCode="&quot;$&quot;#,##0.00000000"/>
    <numFmt numFmtId="170" formatCode="[$€]#,##0"/>
    <numFmt numFmtId="171" formatCode="&quot;$&quot;#,##0.00"/>
    <numFmt numFmtId="172" formatCode="[$$]#,##0.00"/>
    <numFmt numFmtId="173" formatCode="#,##0.000000000"/>
    <numFmt numFmtId="174" formatCode="[$€]#,##0.00"/>
    <numFmt numFmtId="175" formatCode="&quot;$&quot;#,##0.000"/>
    <numFmt numFmtId="176" formatCode="#,##0.0000000000"/>
    <numFmt numFmtId="177" formatCode="#,##0.000"/>
    <numFmt numFmtId="178" formatCode="_([$€-2]* #,##0_);_([$€-2]* \(#,##0\);_([$€-2]* &quot;-&quot;??_);_(@_)"/>
    <numFmt numFmtId="179" formatCode="_(\$* #,##0_);_(\$* \(#,##0\);_(\$* &quot;-&quot;??_);_(@_)"/>
    <numFmt numFmtId="180" formatCode="_(\€* #,##0_);_(\€* \(#,##0\);_(\€* &quot;-&quot;_);_(@_)"/>
    <numFmt numFmtId="181" formatCode="0.0"/>
  </numFmts>
  <fonts count="73" x14ac:knownFonts="1">
    <font>
      <sz val="10"/>
      <color rgb="FF000000"/>
      <name val="Arial"/>
    </font>
    <font>
      <b/>
      <u/>
      <sz val="10"/>
      <name val="Arial"/>
    </font>
    <font>
      <b/>
      <u/>
      <sz val="12"/>
      <name val="Arial"/>
    </font>
    <font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u/>
      <sz val="10"/>
      <color rgb="FFFF0000"/>
      <name val="Arial"/>
    </font>
    <font>
      <b/>
      <sz val="10"/>
      <name val="Arial"/>
    </font>
    <font>
      <b/>
      <sz val="10"/>
      <color rgb="FFFF0000"/>
      <name val="Arial"/>
    </font>
    <font>
      <i/>
      <sz val="10"/>
      <name val="Arial"/>
    </font>
    <font>
      <b/>
      <sz val="10"/>
      <color rgb="FF000000"/>
      <name val="Arial"/>
    </font>
    <font>
      <sz val="8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FF0000"/>
      <name val="Arial"/>
    </font>
    <font>
      <sz val="8"/>
      <color rgb="FFFF000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</font>
    <font>
      <sz val="10"/>
      <color rgb="FF000000"/>
      <name val="Arial"/>
    </font>
    <font>
      <b/>
      <u/>
      <sz val="10"/>
      <name val="Arial"/>
    </font>
    <font>
      <b/>
      <u/>
      <sz val="10"/>
      <name val="Arial"/>
    </font>
    <font>
      <sz val="11"/>
      <color rgb="FFF7981D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name val="Arial"/>
    </font>
    <font>
      <u/>
      <sz val="10"/>
      <color rgb="FF1155CC"/>
      <name val="Arial"/>
    </font>
    <font>
      <b/>
      <sz val="10"/>
      <name val="Arial"/>
    </font>
    <font>
      <sz val="10"/>
      <color rgb="FFFFFF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1"/>
      <color rgb="FF000000"/>
      <name val="Arial"/>
    </font>
    <font>
      <sz val="10"/>
      <color rgb="FF4A86E8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sz val="10"/>
      <color rgb="FF333333"/>
      <name val="Arial"/>
    </font>
    <font>
      <u/>
      <sz val="10"/>
      <color rgb="FF333333"/>
      <name val="Arial"/>
    </font>
    <font>
      <u/>
      <sz val="10"/>
      <color rgb="FF333333"/>
      <name val="Arial"/>
    </font>
    <font>
      <u/>
      <sz val="10"/>
      <color rgb="FF0000FF"/>
      <name val="Arial"/>
    </font>
    <font>
      <sz val="10"/>
      <color rgb="FF111111"/>
      <name val="Arial"/>
    </font>
    <font>
      <sz val="10"/>
      <color rgb="FF0000FF"/>
      <name val="Arial"/>
    </font>
    <font>
      <sz val="10"/>
      <color rgb="FFFFFFFF"/>
      <name val="Arial"/>
    </font>
    <font>
      <u/>
      <sz val="10"/>
      <color rgb="FF1155CC"/>
      <name val="Arial"/>
    </font>
    <font>
      <sz val="11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333333"/>
      <name val="Arial"/>
    </font>
    <font>
      <u/>
      <sz val="10"/>
      <color rgb="FF333333"/>
      <name val="Arial"/>
    </font>
    <font>
      <u/>
      <sz val="10"/>
      <color rgb="FF0000FF"/>
      <name val="Arial"/>
    </font>
    <font>
      <b/>
      <sz val="10"/>
      <color rgb="FF000000"/>
      <name val="Arial"/>
    </font>
    <font>
      <b/>
      <u/>
      <sz val="10"/>
      <color rgb="FF1155CC"/>
      <name val="Arial"/>
    </font>
    <font>
      <u/>
      <sz val="10"/>
      <color rgb="FF7E57C2"/>
      <name val="Arial"/>
    </font>
    <font>
      <u/>
      <sz val="10"/>
      <color rgb="FF7E57C2"/>
      <name val="Arial"/>
    </font>
    <font>
      <b/>
      <sz val="10"/>
      <color rgb="FFFFFFFF"/>
      <name val="Arial"/>
    </font>
    <font>
      <u/>
      <sz val="10"/>
      <color rgb="FF333333"/>
      <name val="Arial"/>
    </font>
    <font>
      <u/>
      <sz val="10"/>
      <color rgb="FF1155CC"/>
      <name val="Arial"/>
    </font>
    <font>
      <b/>
      <u/>
      <sz val="10"/>
      <name val="Arial"/>
    </font>
    <font>
      <u/>
      <sz val="10"/>
      <color rgb="FF1155CC"/>
      <name val="Arial"/>
    </font>
    <font>
      <b/>
      <u/>
      <sz val="10"/>
      <color rgb="FF000000"/>
      <name val="Arial"/>
    </font>
    <font>
      <u/>
      <sz val="10"/>
      <color rgb="FF1155CC"/>
      <name val="Arial"/>
    </font>
    <font>
      <u/>
      <sz val="10"/>
      <color rgb="FF1155CC"/>
      <name val="Arial"/>
    </font>
  </fonts>
  <fills count="1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FFD966"/>
        <bgColor rgb="FFFFD966"/>
      </patternFill>
    </fill>
    <fill>
      <patternFill patternType="solid">
        <fgColor rgb="FF6D9EEB"/>
        <bgColor rgb="FF6D9EEB"/>
      </patternFill>
    </fill>
    <fill>
      <patternFill patternType="solid">
        <fgColor rgb="FF93C47D"/>
        <bgColor rgb="FF93C47D"/>
      </patternFill>
    </fill>
    <fill>
      <patternFill patternType="solid">
        <fgColor rgb="FFE06666"/>
        <bgColor rgb="FFE06666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FFE599"/>
        <bgColor rgb="FFFFE599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4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3" fontId="6" fillId="0" borderId="0" xfId="0" applyNumberFormat="1" applyFont="1" applyAlignment="1">
      <alignment horizontal="right"/>
    </xf>
    <xf numFmtId="0" fontId="7" fillId="0" borderId="0" xfId="0" applyFont="1" applyAlignme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8" fillId="2" borderId="1" xfId="0" applyFont="1" applyFill="1" applyBorder="1" applyAlignment="1"/>
    <xf numFmtId="0" fontId="3" fillId="0" borderId="0" xfId="0" applyFont="1" applyAlignment="1"/>
    <xf numFmtId="0" fontId="3" fillId="2" borderId="1" xfId="0" applyFont="1" applyFill="1" applyBorder="1" applyAlignment="1">
      <alignment horizontal="right"/>
    </xf>
    <xf numFmtId="165" fontId="10" fillId="0" borderId="0" xfId="0" applyNumberFormat="1" applyFont="1" applyAlignment="1">
      <alignment horizontal="right"/>
    </xf>
    <xf numFmtId="0" fontId="3" fillId="2" borderId="2" xfId="0" applyFont="1" applyFill="1" applyBorder="1" applyAlignment="1"/>
    <xf numFmtId="3" fontId="8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right"/>
    </xf>
    <xf numFmtId="0" fontId="11" fillId="0" borderId="0" xfId="0" applyFont="1" applyAlignment="1"/>
    <xf numFmtId="3" fontId="3" fillId="0" borderId="3" xfId="0" applyNumberFormat="1" applyFont="1" applyBorder="1" applyAlignment="1">
      <alignment horizontal="right"/>
    </xf>
    <xf numFmtId="164" fontId="11" fillId="0" borderId="0" xfId="0" applyNumberFormat="1" applyFont="1" applyAlignment="1"/>
    <xf numFmtId="0" fontId="0" fillId="0" borderId="4" xfId="0" applyFont="1" applyBorder="1" applyAlignment="1"/>
    <xf numFmtId="9" fontId="8" fillId="0" borderId="0" xfId="0" applyNumberFormat="1" applyFont="1" applyAlignment="1">
      <alignment horizontal="right"/>
    </xf>
    <xf numFmtId="0" fontId="3" fillId="0" borderId="0" xfId="0" applyFont="1" applyAlignment="1"/>
    <xf numFmtId="164" fontId="11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/>
    <xf numFmtId="0" fontId="12" fillId="0" borderId="0" xfId="0" applyFont="1" applyAlignment="1"/>
    <xf numFmtId="0" fontId="3" fillId="4" borderId="6" xfId="0" applyFont="1" applyFill="1" applyBorder="1" applyAlignment="1"/>
    <xf numFmtId="0" fontId="8" fillId="4" borderId="8" xfId="0" applyFont="1" applyFill="1" applyBorder="1" applyAlignment="1"/>
    <xf numFmtId="0" fontId="3" fillId="4" borderId="8" xfId="0" applyFont="1" applyFill="1" applyBorder="1" applyAlignment="1">
      <alignment horizontal="right"/>
    </xf>
    <xf numFmtId="0" fontId="12" fillId="0" borderId="0" xfId="0" applyFont="1" applyAlignment="1">
      <alignment horizontal="right" wrapText="1"/>
    </xf>
    <xf numFmtId="0" fontId="3" fillId="4" borderId="8" xfId="0" applyFont="1" applyFill="1" applyBorder="1" applyAlignment="1"/>
    <xf numFmtId="0" fontId="8" fillId="0" borderId="0" xfId="0" applyFont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166" fontId="12" fillId="0" borderId="0" xfId="0" applyNumberFormat="1" applyFont="1" applyAlignment="1">
      <alignment horizontal="right" wrapText="1"/>
    </xf>
    <xf numFmtId="0" fontId="13" fillId="0" borderId="0" xfId="0" applyFont="1" applyAlignment="1"/>
    <xf numFmtId="3" fontId="3" fillId="0" borderId="5" xfId="0" applyNumberFormat="1" applyFont="1" applyBorder="1" applyAlignment="1">
      <alignment horizontal="right"/>
    </xf>
    <xf numFmtId="167" fontId="12" fillId="0" borderId="0" xfId="0" applyNumberFormat="1" applyFont="1" applyAlignment="1">
      <alignment horizontal="right" wrapText="1"/>
    </xf>
    <xf numFmtId="166" fontId="12" fillId="0" borderId="0" xfId="0" applyNumberFormat="1" applyFont="1" applyAlignment="1">
      <alignment horizontal="right" wrapText="1"/>
    </xf>
    <xf numFmtId="9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right" wrapText="1"/>
    </xf>
    <xf numFmtId="168" fontId="7" fillId="0" borderId="0" xfId="0" applyNumberFormat="1" applyFont="1" applyAlignment="1"/>
    <xf numFmtId="0" fontId="8" fillId="0" borderId="0" xfId="0" applyFont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14" fillId="0" borderId="0" xfId="0" applyFont="1" applyAlignment="1">
      <alignment horizontal="right" wrapText="1"/>
    </xf>
    <xf numFmtId="164" fontId="7" fillId="0" borderId="0" xfId="0" applyNumberFormat="1" applyFont="1" applyAlignment="1"/>
    <xf numFmtId="3" fontId="15" fillId="0" borderId="0" xfId="0" applyNumberFormat="1" applyFont="1" applyAlignment="1">
      <alignment horizontal="right" wrapText="1"/>
    </xf>
    <xf numFmtId="3" fontId="16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64" fontId="8" fillId="3" borderId="6" xfId="0" applyNumberFormat="1" applyFont="1" applyFill="1" applyBorder="1" applyAlignment="1">
      <alignment horizontal="right"/>
    </xf>
    <xf numFmtId="10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left"/>
    </xf>
    <xf numFmtId="3" fontId="17" fillId="4" borderId="6" xfId="0" applyNumberFormat="1" applyFont="1" applyFill="1" applyBorder="1" applyAlignment="1">
      <alignment horizontal="right"/>
    </xf>
    <xf numFmtId="170" fontId="8" fillId="3" borderId="6" xfId="0" applyNumberFormat="1" applyFont="1" applyFill="1" applyBorder="1" applyAlignment="1">
      <alignment horizontal="right"/>
    </xf>
    <xf numFmtId="0" fontId="8" fillId="4" borderId="6" xfId="0" applyFont="1" applyFill="1" applyBorder="1" applyAlignment="1"/>
    <xf numFmtId="0" fontId="1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0" fillId="0" borderId="0" xfId="0" applyFont="1" applyAlignment="1"/>
    <xf numFmtId="164" fontId="2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/>
    </xf>
    <xf numFmtId="171" fontId="20" fillId="3" borderId="6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9" xfId="0" applyFont="1" applyBorder="1" applyAlignment="1"/>
    <xf numFmtId="0" fontId="22" fillId="0" borderId="9" xfId="0" applyFont="1" applyBorder="1" applyAlignment="1">
      <alignment horizontal="right"/>
    </xf>
    <xf numFmtId="0" fontId="23" fillId="0" borderId="9" xfId="0" applyFont="1" applyBorder="1" applyAlignment="1"/>
    <xf numFmtId="3" fontId="8" fillId="0" borderId="9" xfId="0" applyNumberFormat="1" applyFont="1" applyBorder="1" applyAlignment="1">
      <alignment horizontal="right" wrapText="1"/>
    </xf>
    <xf numFmtId="0" fontId="11" fillId="0" borderId="9" xfId="0" applyFont="1" applyBorder="1" applyAlignment="1"/>
    <xf numFmtId="171" fontId="7" fillId="5" borderId="6" xfId="0" applyNumberFormat="1" applyFont="1" applyFill="1" applyBorder="1" applyAlignment="1"/>
    <xf numFmtId="168" fontId="7" fillId="5" borderId="6" xfId="0" applyNumberFormat="1" applyFont="1" applyFill="1" applyBorder="1" applyAlignment="1"/>
    <xf numFmtId="3" fontId="3" fillId="0" borderId="0" xfId="0" applyNumberFormat="1" applyFont="1"/>
    <xf numFmtId="0" fontId="24" fillId="0" borderId="0" xfId="0" applyFont="1" applyAlignment="1"/>
    <xf numFmtId="0" fontId="20" fillId="0" borderId="0" xfId="0" applyFont="1" applyAlignment="1"/>
    <xf numFmtId="0" fontId="25" fillId="0" borderId="0" xfId="0" applyFont="1" applyAlignment="1"/>
    <xf numFmtId="0" fontId="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8" fillId="4" borderId="10" xfId="0" applyFont="1" applyFill="1" applyBorder="1" applyAlignment="1"/>
    <xf numFmtId="3" fontId="3" fillId="0" borderId="9" xfId="0" applyNumberFormat="1" applyFont="1" applyBorder="1" applyAlignment="1">
      <alignment horizontal="right"/>
    </xf>
    <xf numFmtId="172" fontId="3" fillId="0" borderId="0" xfId="0" applyNumberFormat="1" applyFont="1"/>
    <xf numFmtId="0" fontId="26" fillId="0" borderId="9" xfId="0" applyFont="1" applyBorder="1" applyAlignment="1">
      <alignment horizontal="right" vertical="top"/>
    </xf>
    <xf numFmtId="0" fontId="8" fillId="2" borderId="6" xfId="0" applyFont="1" applyFill="1" applyBorder="1" applyAlignment="1"/>
    <xf numFmtId="0" fontId="20" fillId="0" borderId="0" xfId="0" applyFont="1" applyAlignment="1"/>
    <xf numFmtId="3" fontId="8" fillId="2" borderId="6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right" wrapText="1"/>
    </xf>
    <xf numFmtId="173" fontId="3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3" fillId="0" borderId="0" xfId="0" applyFont="1" applyAlignment="1">
      <alignment horizontal="left"/>
    </xf>
    <xf numFmtId="174" fontId="7" fillId="5" borderId="6" xfId="0" applyNumberFormat="1" applyFont="1" applyFill="1" applyBorder="1" applyAlignment="1"/>
    <xf numFmtId="175" fontId="3" fillId="0" borderId="0" xfId="0" applyNumberFormat="1" applyFont="1" applyAlignment="1">
      <alignment horizontal="left"/>
    </xf>
    <xf numFmtId="0" fontId="17" fillId="0" borderId="0" xfId="0" applyFont="1" applyAlignment="1">
      <alignment horizontal="right"/>
    </xf>
    <xf numFmtId="0" fontId="8" fillId="0" borderId="0" xfId="0" applyFont="1" applyAlignment="1"/>
    <xf numFmtId="3" fontId="3" fillId="0" borderId="0" xfId="0" applyNumberFormat="1" applyFont="1" applyAlignment="1">
      <alignment horizontal="right"/>
    </xf>
    <xf numFmtId="0" fontId="3" fillId="4" borderId="6" xfId="0" applyFont="1" applyFill="1" applyBorder="1" applyAlignment="1"/>
    <xf numFmtId="3" fontId="20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/>
    </xf>
    <xf numFmtId="9" fontId="1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right"/>
    </xf>
    <xf numFmtId="3" fontId="27" fillId="0" borderId="0" xfId="0" applyNumberFormat="1" applyFont="1" applyAlignment="1"/>
    <xf numFmtId="3" fontId="8" fillId="0" borderId="9" xfId="0" applyNumberFormat="1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177" fontId="3" fillId="0" borderId="0" xfId="0" applyNumberFormat="1" applyFont="1" applyAlignment="1">
      <alignment horizontal="right"/>
    </xf>
    <xf numFmtId="0" fontId="0" fillId="0" borderId="0" xfId="0" applyFont="1" applyAlignment="1"/>
    <xf numFmtId="0" fontId="28" fillId="6" borderId="0" xfId="0" applyFont="1" applyFill="1" applyAlignment="1">
      <alignment vertical="center" wrapText="1"/>
    </xf>
    <xf numFmtId="0" fontId="29" fillId="7" borderId="0" xfId="0" applyFont="1" applyFill="1" applyAlignment="1">
      <alignment vertical="center" wrapText="1"/>
    </xf>
    <xf numFmtId="0" fontId="28" fillId="8" borderId="0" xfId="0" applyFont="1" applyFill="1" applyAlignment="1">
      <alignment vertical="center" wrapText="1"/>
    </xf>
    <xf numFmtId="0" fontId="28" fillId="9" borderId="0" xfId="0" applyFont="1" applyFill="1" applyAlignment="1">
      <alignment vertical="center" wrapText="1"/>
    </xf>
    <xf numFmtId="0" fontId="28" fillId="10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 wrapText="1"/>
    </xf>
    <xf numFmtId="3" fontId="20" fillId="0" borderId="0" xfId="0" applyNumberFormat="1" applyFont="1" applyAlignment="1">
      <alignment horizontal="center" vertical="center"/>
    </xf>
    <xf numFmtId="3" fontId="20" fillId="11" borderId="0" xfId="0" applyNumberFormat="1" applyFont="1" applyFill="1" applyAlignment="1">
      <alignment horizontal="center" vertical="center"/>
    </xf>
    <xf numFmtId="178" fontId="20" fillId="12" borderId="0" xfId="0" applyNumberFormat="1" applyFont="1" applyFill="1" applyAlignment="1">
      <alignment horizontal="right" vertical="center"/>
    </xf>
    <xf numFmtId="179" fontId="20" fillId="12" borderId="0" xfId="0" applyNumberFormat="1" applyFont="1" applyFill="1" applyAlignment="1">
      <alignment horizontal="right" vertical="center"/>
    </xf>
    <xf numFmtId="179" fontId="30" fillId="12" borderId="6" xfId="0" applyNumberFormat="1" applyFont="1" applyFill="1" applyBorder="1" applyAlignment="1">
      <alignment horizontal="right" vertical="center"/>
    </xf>
    <xf numFmtId="0" fontId="15" fillId="13" borderId="6" xfId="0" applyFont="1" applyFill="1" applyBorder="1" applyAlignment="1">
      <alignment horizontal="right" vertical="center"/>
    </xf>
    <xf numFmtId="3" fontId="20" fillId="13" borderId="0" xfId="0" applyNumberFormat="1" applyFont="1" applyFill="1" applyAlignment="1">
      <alignment horizontal="right" vertical="center"/>
    </xf>
    <xf numFmtId="3" fontId="20" fillId="14" borderId="0" xfId="0" applyNumberFormat="1" applyFont="1" applyFill="1" applyAlignment="1">
      <alignment horizontal="right" vertical="center"/>
    </xf>
    <xf numFmtId="3" fontId="31" fillId="14" borderId="0" xfId="0" applyNumberFormat="1" applyFont="1" applyFill="1" applyAlignment="1">
      <alignment horizontal="left" vertical="center"/>
    </xf>
    <xf numFmtId="0" fontId="20" fillId="14" borderId="0" xfId="0" applyFont="1" applyFill="1" applyAlignment="1">
      <alignment horizontal="right" vertical="center"/>
    </xf>
    <xf numFmtId="178" fontId="20" fillId="12" borderId="0" xfId="0" applyNumberFormat="1" applyFont="1" applyFill="1" applyAlignment="1">
      <alignment horizontal="right" vertical="center"/>
    </xf>
    <xf numFmtId="0" fontId="32" fillId="15" borderId="0" xfId="0" applyFont="1" applyFill="1" applyAlignment="1"/>
    <xf numFmtId="0" fontId="32" fillId="15" borderId="0" xfId="0" applyFont="1" applyFill="1" applyAlignment="1">
      <alignment wrapText="1"/>
    </xf>
    <xf numFmtId="3" fontId="32" fillId="15" borderId="0" xfId="0" applyNumberFormat="1" applyFont="1" applyFill="1" applyAlignment="1">
      <alignment horizontal="right"/>
    </xf>
    <xf numFmtId="0" fontId="32" fillId="15" borderId="0" xfId="0" applyFont="1" applyFill="1" applyAlignment="1">
      <alignment horizontal="right"/>
    </xf>
    <xf numFmtId="0" fontId="30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180" fontId="30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44" fontId="30" fillId="0" borderId="0" xfId="0" applyNumberFormat="1" applyFont="1" applyAlignment="1">
      <alignment horizontal="right" vertical="center"/>
    </xf>
    <xf numFmtId="44" fontId="33" fillId="16" borderId="6" xfId="0" applyNumberFormat="1" applyFont="1" applyFill="1" applyBorder="1" applyAlignment="1">
      <alignment horizontal="right" vertical="center"/>
    </xf>
    <xf numFmtId="3" fontId="30" fillId="0" borderId="0" xfId="0" applyNumberFormat="1" applyFont="1" applyAlignment="1">
      <alignment vertical="center"/>
    </xf>
    <xf numFmtId="0" fontId="30" fillId="4" borderId="6" xfId="0" applyFont="1" applyFill="1" applyBorder="1" applyAlignment="1">
      <alignment horizontal="right" vertical="center"/>
    </xf>
    <xf numFmtId="0" fontId="30" fillId="4" borderId="6" xfId="0" applyFont="1" applyFill="1" applyBorder="1" applyAlignment="1">
      <alignment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80" fontId="0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3" fontId="30" fillId="0" borderId="0" xfId="0" applyNumberFormat="1" applyFont="1" applyAlignment="1">
      <alignment horizontal="right" vertical="center"/>
    </xf>
    <xf numFmtId="0" fontId="21" fillId="0" borderId="0" xfId="0" applyFont="1" applyAlignment="1"/>
    <xf numFmtId="0" fontId="21" fillId="0" borderId="0" xfId="0" applyFont="1" applyAlignment="1">
      <alignment horizontal="right" wrapText="1"/>
    </xf>
    <xf numFmtId="0" fontId="20" fillId="0" borderId="0" xfId="0" applyFont="1"/>
    <xf numFmtId="0" fontId="20" fillId="0" borderId="0" xfId="0" applyFont="1" applyAlignment="1">
      <alignment horizontal="right"/>
    </xf>
    <xf numFmtId="164" fontId="20" fillId="0" borderId="0" xfId="0" applyNumberFormat="1" applyFont="1" applyAlignment="1">
      <alignment horizontal="right"/>
    </xf>
    <xf numFmtId="3" fontId="36" fillId="0" borderId="0" xfId="0" applyNumberFormat="1" applyFont="1" applyAlignment="1">
      <alignment horizontal="right"/>
    </xf>
    <xf numFmtId="0" fontId="37" fillId="0" borderId="0" xfId="0" applyFont="1" applyAlignment="1"/>
    <xf numFmtId="3" fontId="20" fillId="0" borderId="0" xfId="0" applyNumberFormat="1" applyFont="1" applyAlignment="1"/>
    <xf numFmtId="0" fontId="38" fillId="0" borderId="0" xfId="0" applyFont="1" applyAlignment="1"/>
    <xf numFmtId="0" fontId="24" fillId="0" borderId="0" xfId="0" applyFont="1" applyAlignment="1">
      <alignment vertical="center"/>
    </xf>
    <xf numFmtId="3" fontId="39" fillId="0" borderId="0" xfId="0" applyNumberFormat="1" applyFont="1" applyAlignment="1">
      <alignment horizontal="right"/>
    </xf>
    <xf numFmtId="3" fontId="39" fillId="0" borderId="0" xfId="0" applyNumberFormat="1" applyFont="1" applyAlignment="1"/>
    <xf numFmtId="0" fontId="21" fillId="0" borderId="0" xfId="0" applyFont="1" applyAlignment="1">
      <alignment horizontal="right"/>
    </xf>
    <xf numFmtId="44" fontId="33" fillId="16" borderId="6" xfId="0" applyNumberFormat="1" applyFont="1" applyFill="1" applyBorder="1" applyAlignment="1">
      <alignment vertical="center"/>
    </xf>
    <xf numFmtId="164" fontId="20" fillId="0" borderId="0" xfId="0" applyNumberFormat="1" applyFont="1" applyAlignment="1"/>
    <xf numFmtId="3" fontId="40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81" fontId="20" fillId="0" borderId="0" xfId="0" applyNumberFormat="1" applyFont="1" applyAlignment="1">
      <alignment horizontal="right"/>
    </xf>
    <xf numFmtId="3" fontId="41" fillId="0" borderId="0" xfId="0" applyNumberFormat="1" applyFont="1" applyAlignment="1">
      <alignment vertical="center"/>
    </xf>
    <xf numFmtId="0" fontId="42" fillId="4" borderId="0" xfId="0" applyFont="1" applyFill="1" applyAlignment="1">
      <alignment vertical="center"/>
    </xf>
    <xf numFmtId="0" fontId="43" fillId="4" borderId="0" xfId="0" applyFont="1" applyFill="1" applyAlignment="1">
      <alignment horizontal="right" vertical="center"/>
    </xf>
    <xf numFmtId="0" fontId="30" fillId="4" borderId="0" xfId="0" applyFont="1" applyFill="1" applyAlignment="1">
      <alignment vertical="center"/>
    </xf>
    <xf numFmtId="0" fontId="30" fillId="4" borderId="0" xfId="0" applyFont="1" applyFill="1" applyAlignment="1">
      <alignment horizontal="right" vertical="center"/>
    </xf>
    <xf numFmtId="0" fontId="44" fillId="4" borderId="0" xfId="0" applyFont="1" applyFill="1" applyAlignment="1">
      <alignment vertical="center"/>
    </xf>
    <xf numFmtId="0" fontId="45" fillId="4" borderId="0" xfId="0" applyFont="1" applyFill="1" applyAlignment="1">
      <alignment vertical="center" wrapText="1"/>
    </xf>
    <xf numFmtId="0" fontId="46" fillId="4" borderId="6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47" fillId="4" borderId="0" xfId="0" applyFont="1" applyFill="1" applyAlignment="1">
      <alignment vertical="center"/>
    </xf>
    <xf numFmtId="0" fontId="45" fillId="4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49" fillId="4" borderId="0" xfId="0" applyFont="1" applyFill="1" applyAlignment="1">
      <alignment vertical="center" wrapText="1"/>
    </xf>
    <xf numFmtId="179" fontId="30" fillId="12" borderId="11" xfId="0" applyNumberFormat="1" applyFont="1" applyFill="1" applyBorder="1" applyAlignment="1">
      <alignment horizontal="right" vertical="center"/>
    </xf>
    <xf numFmtId="0" fontId="15" fillId="13" borderId="11" xfId="0" applyFont="1" applyFill="1" applyBorder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8" fillId="2" borderId="12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/>
    </xf>
    <xf numFmtId="178" fontId="21" fillId="2" borderId="14" xfId="0" applyNumberFormat="1" applyFont="1" applyFill="1" applyBorder="1" applyAlignment="1">
      <alignment vertical="center"/>
    </xf>
    <xf numFmtId="179" fontId="21" fillId="2" borderId="14" xfId="0" applyNumberFormat="1" applyFont="1" applyFill="1" applyBorder="1" applyAlignment="1">
      <alignment vertical="center"/>
    </xf>
    <xf numFmtId="179" fontId="32" fillId="2" borderId="14" xfId="0" applyNumberFormat="1" applyFont="1" applyFill="1" applyBorder="1" applyAlignment="1">
      <alignment horizontal="right" vertical="center"/>
    </xf>
    <xf numFmtId="3" fontId="21" fillId="2" borderId="14" xfId="0" applyNumberFormat="1" applyFont="1" applyFill="1" applyBorder="1" applyAlignment="1">
      <alignment vertical="center"/>
    </xf>
    <xf numFmtId="165" fontId="21" fillId="2" borderId="14" xfId="0" applyNumberFormat="1" applyFont="1" applyFill="1" applyBorder="1" applyAlignment="1">
      <alignment vertical="center"/>
    </xf>
    <xf numFmtId="3" fontId="21" fillId="2" borderId="15" xfId="0" applyNumberFormat="1" applyFont="1" applyFill="1" applyBorder="1" applyAlignment="1">
      <alignment vertical="center"/>
    </xf>
    <xf numFmtId="3" fontId="21" fillId="2" borderId="14" xfId="0" applyNumberFormat="1" applyFont="1" applyFill="1" applyBorder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4" fillId="0" borderId="0" xfId="0" applyFont="1"/>
    <xf numFmtId="180" fontId="20" fillId="0" borderId="0" xfId="0" applyNumberFormat="1" applyFont="1" applyAlignment="1">
      <alignment horizontal="right"/>
    </xf>
    <xf numFmtId="180" fontId="24" fillId="0" borderId="0" xfId="0" applyNumberFormat="1" applyFont="1" applyAlignment="1">
      <alignment horizontal="right"/>
    </xf>
    <xf numFmtId="44" fontId="20" fillId="0" borderId="16" xfId="0" applyNumberFormat="1" applyFont="1" applyBorder="1" applyAlignment="1">
      <alignment horizontal="right"/>
    </xf>
    <xf numFmtId="44" fontId="51" fillId="16" borderId="17" xfId="0" applyNumberFormat="1" applyFont="1" applyFill="1" applyBorder="1" applyAlignment="1">
      <alignment horizontal="right"/>
    </xf>
    <xf numFmtId="3" fontId="20" fillId="0" borderId="0" xfId="0" applyNumberFormat="1" applyFont="1" applyAlignment="1">
      <alignment horizontal="right"/>
    </xf>
    <xf numFmtId="0" fontId="20" fillId="0" borderId="16" xfId="0" applyFont="1" applyBorder="1" applyAlignment="1">
      <alignment horizontal="right"/>
    </xf>
    <xf numFmtId="0" fontId="20" fillId="4" borderId="17" xfId="0" applyFont="1" applyFill="1" applyBorder="1"/>
    <xf numFmtId="0" fontId="20" fillId="0" borderId="16" xfId="0" applyFont="1" applyBorder="1"/>
    <xf numFmtId="0" fontId="52" fillId="0" borderId="0" xfId="0" applyFont="1"/>
    <xf numFmtId="44" fontId="51" fillId="16" borderId="18" xfId="0" applyNumberFormat="1" applyFont="1" applyFill="1" applyBorder="1" applyAlignment="1">
      <alignment horizontal="right"/>
    </xf>
    <xf numFmtId="0" fontId="20" fillId="4" borderId="18" xfId="0" applyFont="1" applyFill="1" applyBorder="1"/>
    <xf numFmtId="0" fontId="53" fillId="14" borderId="0" xfId="0" applyFont="1" applyFill="1"/>
    <xf numFmtId="0" fontId="20" fillId="0" borderId="16" xfId="0" applyFont="1" applyBorder="1" applyAlignment="1">
      <alignment horizontal="right"/>
    </xf>
    <xf numFmtId="3" fontId="20" fillId="0" borderId="16" xfId="0" applyNumberFormat="1" applyFont="1" applyBorder="1"/>
    <xf numFmtId="0" fontId="20" fillId="4" borderId="18" xfId="0" applyFont="1" applyFill="1" applyBorder="1" applyAlignment="1"/>
    <xf numFmtId="0" fontId="24" fillId="0" borderId="0" xfId="0" applyFont="1" applyAlignment="1"/>
    <xf numFmtId="0" fontId="20" fillId="0" borderId="0" xfId="0" applyFont="1" applyAlignment="1"/>
    <xf numFmtId="44" fontId="51" fillId="16" borderId="18" xfId="0" applyNumberFormat="1" applyFont="1" applyFill="1" applyBorder="1" applyAlignment="1">
      <alignment horizontal="right"/>
    </xf>
    <xf numFmtId="3" fontId="20" fillId="0" borderId="0" xfId="0" applyNumberFormat="1" applyFont="1" applyAlignment="1"/>
    <xf numFmtId="0" fontId="20" fillId="0" borderId="0" xfId="0" applyFont="1" applyAlignment="1">
      <alignment horizontal="right"/>
    </xf>
    <xf numFmtId="3" fontId="20" fillId="0" borderId="16" xfId="0" applyNumberFormat="1" applyFont="1" applyBorder="1" applyAlignment="1">
      <alignment horizontal="right"/>
    </xf>
    <xf numFmtId="0" fontId="54" fillId="0" borderId="0" xfId="0" applyFont="1" applyAlignment="1"/>
    <xf numFmtId="3" fontId="20" fillId="0" borderId="0" xfId="0" applyNumberFormat="1" applyFont="1"/>
    <xf numFmtId="0" fontId="20" fillId="0" borderId="0" xfId="0" applyFont="1" applyAlignment="1">
      <alignment horizontal="right"/>
    </xf>
    <xf numFmtId="0" fontId="20" fillId="4" borderId="0" xfId="0" applyFont="1" applyFill="1"/>
    <xf numFmtId="0" fontId="20" fillId="0" borderId="19" xfId="0" applyFont="1" applyBorder="1" applyAlignment="1">
      <alignment horizontal="right"/>
    </xf>
    <xf numFmtId="0" fontId="20" fillId="4" borderId="19" xfId="0" applyFont="1" applyFill="1" applyBorder="1" applyAlignment="1"/>
    <xf numFmtId="0" fontId="20" fillId="4" borderId="16" xfId="0" applyFont="1" applyFill="1" applyBorder="1"/>
    <xf numFmtId="0" fontId="55" fillId="4" borderId="0" xfId="0" applyFont="1" applyFill="1"/>
    <xf numFmtId="0" fontId="21" fillId="0" borderId="0" xfId="0" applyFont="1"/>
    <xf numFmtId="0" fontId="24" fillId="4" borderId="6" xfId="0" applyFont="1" applyFill="1" applyBorder="1" applyAlignment="1">
      <alignment horizontal="left" vertical="center"/>
    </xf>
    <xf numFmtId="1" fontId="20" fillId="0" borderId="0" xfId="0" applyNumberFormat="1" applyFont="1" applyAlignment="1">
      <alignment horizontal="center" vertical="center"/>
    </xf>
    <xf numFmtId="0" fontId="56" fillId="0" borderId="0" xfId="0" applyFont="1" applyAlignment="1"/>
    <xf numFmtId="0" fontId="57" fillId="0" borderId="16" xfId="0" applyFont="1" applyBorder="1" applyAlignment="1"/>
    <xf numFmtId="0" fontId="58" fillId="4" borderId="16" xfId="0" applyFont="1" applyFill="1" applyBorder="1" applyAlignment="1"/>
    <xf numFmtId="0" fontId="20" fillId="2" borderId="12" xfId="0" applyFont="1" applyFill="1" applyBorder="1" applyAlignment="1">
      <alignment vertical="center"/>
    </xf>
    <xf numFmtId="0" fontId="20" fillId="2" borderId="20" xfId="0" applyFont="1" applyFill="1" applyBorder="1" applyAlignment="1">
      <alignment vertical="center"/>
    </xf>
    <xf numFmtId="0" fontId="21" fillId="2" borderId="20" xfId="0" applyFont="1" applyFill="1" applyBorder="1" applyAlignment="1">
      <alignment vertical="center"/>
    </xf>
    <xf numFmtId="0" fontId="20" fillId="2" borderId="20" xfId="0" applyFont="1" applyFill="1" applyBorder="1" applyAlignment="1">
      <alignment horizontal="center" vertical="center"/>
    </xf>
    <xf numFmtId="178" fontId="21" fillId="2" borderId="20" xfId="0" applyNumberFormat="1" applyFont="1" applyFill="1" applyBorder="1" applyAlignment="1">
      <alignment horizontal="right" vertical="center"/>
    </xf>
    <xf numFmtId="180" fontId="20" fillId="0" borderId="0" xfId="0" applyNumberFormat="1" applyFont="1" applyAlignment="1">
      <alignment horizontal="right"/>
    </xf>
    <xf numFmtId="179" fontId="21" fillId="2" borderId="20" xfId="0" applyNumberFormat="1" applyFont="1" applyFill="1" applyBorder="1" applyAlignment="1">
      <alignment horizontal="right" vertical="center"/>
    </xf>
    <xf numFmtId="44" fontId="20" fillId="0" borderId="0" xfId="0" applyNumberFormat="1" applyFont="1" applyAlignment="1">
      <alignment horizontal="right"/>
    </xf>
    <xf numFmtId="44" fontId="51" fillId="16" borderId="18" xfId="0" applyNumberFormat="1" applyFont="1" applyFill="1" applyBorder="1" applyAlignment="1">
      <alignment horizontal="right"/>
    </xf>
    <xf numFmtId="3" fontId="20" fillId="0" borderId="0" xfId="0" applyNumberFormat="1" applyFont="1" applyAlignment="1"/>
    <xf numFmtId="0" fontId="20" fillId="0" borderId="0" xfId="0" applyFont="1" applyAlignment="1">
      <alignment horizontal="right"/>
    </xf>
    <xf numFmtId="0" fontId="20" fillId="4" borderId="18" xfId="0" applyFont="1" applyFill="1" applyBorder="1" applyAlignment="1"/>
    <xf numFmtId="0" fontId="20" fillId="4" borderId="18" xfId="0" applyFont="1" applyFill="1" applyBorder="1" applyAlignment="1">
      <alignment horizontal="right"/>
    </xf>
    <xf numFmtId="0" fontId="20" fillId="4" borderId="16" xfId="0" applyFont="1" applyFill="1" applyBorder="1" applyAlignment="1"/>
    <xf numFmtId="0" fontId="20" fillId="4" borderId="19" xfId="0" applyFont="1" applyFill="1" applyBorder="1" applyAlignment="1"/>
    <xf numFmtId="3" fontId="20" fillId="2" borderId="20" xfId="0" applyNumberFormat="1" applyFont="1" applyFill="1" applyBorder="1" applyAlignment="1">
      <alignment vertical="center"/>
    </xf>
    <xf numFmtId="3" fontId="21" fillId="2" borderId="20" xfId="0" applyNumberFormat="1" applyFont="1" applyFill="1" applyBorder="1" applyAlignment="1">
      <alignment horizontal="right" vertical="center"/>
    </xf>
    <xf numFmtId="0" fontId="59" fillId="4" borderId="18" xfId="0" applyFont="1" applyFill="1" applyBorder="1" applyAlignment="1"/>
    <xf numFmtId="165" fontId="21" fillId="2" borderId="20" xfId="0" applyNumberFormat="1" applyFont="1" applyFill="1" applyBorder="1" applyAlignment="1">
      <alignment horizontal="right" vertical="center"/>
    </xf>
    <xf numFmtId="3" fontId="21" fillId="2" borderId="2" xfId="0" applyNumberFormat="1" applyFont="1" applyFill="1" applyBorder="1" applyAlignment="1">
      <alignment horizontal="right" vertical="center"/>
    </xf>
    <xf numFmtId="0" fontId="20" fillId="2" borderId="21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3" fontId="21" fillId="2" borderId="22" xfId="0" applyNumberFormat="1" applyFont="1" applyFill="1" applyBorder="1" applyAlignment="1">
      <alignment horizontal="center" vertical="center"/>
    </xf>
    <xf numFmtId="178" fontId="21" fillId="2" borderId="22" xfId="0" applyNumberFormat="1" applyFont="1" applyFill="1" applyBorder="1" applyAlignment="1">
      <alignment horizontal="right" vertical="center"/>
    </xf>
    <xf numFmtId="179" fontId="21" fillId="2" borderId="22" xfId="0" applyNumberFormat="1" applyFont="1" applyFill="1" applyBorder="1" applyAlignment="1">
      <alignment horizontal="right" vertical="center"/>
    </xf>
    <xf numFmtId="0" fontId="20" fillId="0" borderId="16" xfId="0" applyFont="1" applyBorder="1" applyAlignment="1"/>
    <xf numFmtId="3" fontId="20" fillId="2" borderId="22" xfId="0" applyNumberFormat="1" applyFont="1" applyFill="1" applyBorder="1" applyAlignment="1">
      <alignment vertical="center"/>
    </xf>
    <xf numFmtId="3" fontId="21" fillId="2" borderId="22" xfId="0" applyNumberFormat="1" applyFont="1" applyFill="1" applyBorder="1" applyAlignment="1">
      <alignment horizontal="right" vertical="center"/>
    </xf>
    <xf numFmtId="165" fontId="21" fillId="2" borderId="22" xfId="0" applyNumberFormat="1" applyFont="1" applyFill="1" applyBorder="1" applyAlignment="1">
      <alignment horizontal="right" vertical="center"/>
    </xf>
    <xf numFmtId="3" fontId="21" fillId="2" borderId="7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4" fillId="0" borderId="0" xfId="0" applyFont="1"/>
    <xf numFmtId="0" fontId="60" fillId="0" borderId="16" xfId="0" applyFont="1" applyBorder="1" applyAlignment="1"/>
    <xf numFmtId="0" fontId="61" fillId="0" borderId="0" xfId="0" applyFont="1" applyAlignment="1"/>
    <xf numFmtId="0" fontId="61" fillId="0" borderId="0" xfId="0" applyFont="1"/>
    <xf numFmtId="0" fontId="0" fillId="0" borderId="0" xfId="0" applyFont="1" applyAlignment="1">
      <alignment vertical="center"/>
    </xf>
    <xf numFmtId="180" fontId="20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62" fillId="0" borderId="16" xfId="0" applyFont="1" applyBorder="1" applyAlignment="1"/>
    <xf numFmtId="0" fontId="63" fillId="4" borderId="0" xfId="0" applyFont="1" applyFill="1"/>
    <xf numFmtId="0" fontId="64" fillId="4" borderId="16" xfId="0" applyFont="1" applyFill="1" applyBorder="1" applyAlignment="1"/>
    <xf numFmtId="180" fontId="61" fillId="0" borderId="0" xfId="0" applyNumberFormat="1" applyFont="1" applyAlignment="1">
      <alignment horizontal="right"/>
    </xf>
    <xf numFmtId="44" fontId="65" fillId="16" borderId="18" xfId="0" applyNumberFormat="1" applyFont="1" applyFill="1" applyBorder="1" applyAlignment="1">
      <alignment horizontal="right"/>
    </xf>
    <xf numFmtId="0" fontId="20" fillId="0" borderId="0" xfId="0" applyFont="1" applyAlignment="1">
      <alignment wrapText="1"/>
    </xf>
    <xf numFmtId="0" fontId="20" fillId="4" borderId="19" xfId="0" applyFont="1" applyFill="1" applyBorder="1"/>
    <xf numFmtId="0" fontId="66" fillId="4" borderId="0" xfId="0" applyFont="1" applyFill="1" applyAlignment="1"/>
    <xf numFmtId="0" fontId="24" fillId="4" borderId="0" xfId="0" applyFont="1" applyFill="1"/>
    <xf numFmtId="3" fontId="20" fillId="0" borderId="0" xfId="0" applyNumberFormat="1" applyFont="1" applyAlignment="1">
      <alignment horizontal="center" vertical="center"/>
    </xf>
    <xf numFmtId="178" fontId="20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0" fontId="61" fillId="7" borderId="23" xfId="0" applyFont="1" applyFill="1" applyBorder="1" applyAlignment="1">
      <alignment vertical="center"/>
    </xf>
    <xf numFmtId="0" fontId="61" fillId="11" borderId="15" xfId="0" applyFont="1" applyFill="1" applyBorder="1" applyAlignment="1">
      <alignment horizontal="center" vertical="center"/>
    </xf>
    <xf numFmtId="178" fontId="21" fillId="2" borderId="24" xfId="0" applyNumberFormat="1" applyFont="1" applyFill="1" applyBorder="1" applyAlignment="1">
      <alignment horizontal="left" vertical="center"/>
    </xf>
    <xf numFmtId="172" fontId="21" fillId="2" borderId="22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178" fontId="21" fillId="17" borderId="24" xfId="0" applyNumberFormat="1" applyFont="1" applyFill="1" applyBorder="1" applyAlignment="1">
      <alignment horizontal="left" vertical="center"/>
    </xf>
    <xf numFmtId="178" fontId="21" fillId="17" borderId="22" xfId="0" applyNumberFormat="1" applyFont="1" applyFill="1" applyBorder="1" applyAlignment="1">
      <alignment horizontal="right" vertical="center"/>
    </xf>
    <xf numFmtId="178" fontId="21" fillId="11" borderId="22" xfId="0" applyNumberFormat="1" applyFont="1" applyFill="1" applyBorder="1" applyAlignment="1">
      <alignment horizontal="right" vertical="center"/>
    </xf>
    <xf numFmtId="172" fontId="21" fillId="11" borderId="22" xfId="0" applyNumberFormat="1" applyFont="1" applyFill="1" applyBorder="1" applyAlignment="1">
      <alignment horizontal="right" vertical="center"/>
    </xf>
    <xf numFmtId="0" fontId="20" fillId="4" borderId="6" xfId="0" applyFont="1" applyFill="1" applyBorder="1" applyAlignment="1">
      <alignment horizontal="right" vertical="center"/>
    </xf>
    <xf numFmtId="0" fontId="20" fillId="4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67" fillId="4" borderId="6" xfId="0" applyFont="1" applyFill="1" applyBorder="1" applyAlignment="1">
      <alignment horizontal="right" vertical="center"/>
    </xf>
    <xf numFmtId="0" fontId="68" fillId="15" borderId="25" xfId="0" applyFont="1" applyFill="1" applyBorder="1" applyAlignment="1">
      <alignment vertical="center"/>
    </xf>
    <xf numFmtId="0" fontId="20" fillId="15" borderId="10" xfId="0" applyFont="1" applyFill="1" applyBorder="1" applyAlignment="1">
      <alignment vertical="center"/>
    </xf>
    <xf numFmtId="0" fontId="69" fillId="15" borderId="10" xfId="0" applyFont="1" applyFill="1" applyBorder="1" applyAlignment="1">
      <alignment horizontal="right" vertical="center"/>
    </xf>
    <xf numFmtId="0" fontId="20" fillId="15" borderId="26" xfId="0" applyFont="1" applyFill="1" applyBorder="1" applyAlignment="1">
      <alignment horizontal="right" vertical="center"/>
    </xf>
    <xf numFmtId="0" fontId="20" fillId="15" borderId="27" xfId="0" applyFont="1" applyFill="1" applyBorder="1" applyAlignment="1">
      <alignment vertical="center"/>
    </xf>
    <xf numFmtId="0" fontId="20" fillId="15" borderId="6" xfId="0" applyFont="1" applyFill="1" applyBorder="1" applyAlignment="1">
      <alignment vertical="center"/>
    </xf>
    <xf numFmtId="0" fontId="20" fillId="15" borderId="6" xfId="0" applyFont="1" applyFill="1" applyBorder="1" applyAlignment="1">
      <alignment horizontal="right" vertical="center"/>
    </xf>
    <xf numFmtId="0" fontId="20" fillId="15" borderId="28" xfId="0" applyFont="1" applyFill="1" applyBorder="1" applyAlignment="1">
      <alignment horizontal="right" vertical="center"/>
    </xf>
    <xf numFmtId="0" fontId="20" fillId="15" borderId="29" xfId="0" applyFont="1" applyFill="1" applyBorder="1" applyAlignment="1">
      <alignment vertical="center"/>
    </xf>
    <xf numFmtId="0" fontId="20" fillId="15" borderId="30" xfId="0" applyFont="1" applyFill="1" applyBorder="1" applyAlignment="1">
      <alignment vertical="center"/>
    </xf>
    <xf numFmtId="9" fontId="20" fillId="15" borderId="30" xfId="0" applyNumberFormat="1" applyFont="1" applyFill="1" applyBorder="1" applyAlignment="1">
      <alignment vertical="center"/>
    </xf>
    <xf numFmtId="0" fontId="20" fillId="15" borderId="30" xfId="0" applyFont="1" applyFill="1" applyBorder="1" applyAlignment="1">
      <alignment horizontal="right" vertical="center"/>
    </xf>
    <xf numFmtId="0" fontId="20" fillId="15" borderId="31" xfId="0" applyFont="1" applyFill="1" applyBorder="1" applyAlignment="1">
      <alignment horizontal="right" vertical="center"/>
    </xf>
    <xf numFmtId="0" fontId="3" fillId="5" borderId="25" xfId="0" applyFont="1" applyFill="1" applyBorder="1" applyAlignment="1">
      <alignment horizontal="right" vertical="center"/>
    </xf>
    <xf numFmtId="0" fontId="7" fillId="5" borderId="10" xfId="0" applyFont="1" applyFill="1" applyBorder="1" applyAlignment="1">
      <alignment vertical="center"/>
    </xf>
    <xf numFmtId="0" fontId="70" fillId="5" borderId="10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3" fillId="5" borderId="27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vertical="center"/>
    </xf>
    <xf numFmtId="0" fontId="20" fillId="5" borderId="6" xfId="0" applyFont="1" applyFill="1" applyBorder="1" applyAlignment="1">
      <alignment vertical="center"/>
    </xf>
    <xf numFmtId="3" fontId="3" fillId="5" borderId="6" xfId="0" applyNumberFormat="1" applyFont="1" applyFill="1" applyBorder="1" applyAlignment="1">
      <alignment vertical="center"/>
    </xf>
    <xf numFmtId="0" fontId="20" fillId="5" borderId="28" xfId="0" applyFont="1" applyFill="1" applyBorder="1" applyAlignment="1">
      <alignment horizontal="right" vertical="center"/>
    </xf>
    <xf numFmtId="1" fontId="20" fillId="5" borderId="6" xfId="0" applyNumberFormat="1" applyFont="1" applyFill="1" applyBorder="1" applyAlignment="1">
      <alignment vertical="center"/>
    </xf>
    <xf numFmtId="0" fontId="71" fillId="5" borderId="6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0" fontId="7" fillId="5" borderId="30" xfId="0" applyFont="1" applyFill="1" applyBorder="1" applyAlignment="1">
      <alignment vertical="center"/>
    </xf>
    <xf numFmtId="0" fontId="20" fillId="5" borderId="30" xfId="0" applyFont="1" applyFill="1" applyBorder="1" applyAlignment="1">
      <alignment vertical="center"/>
    </xf>
    <xf numFmtId="0" fontId="72" fillId="5" borderId="30" xfId="0" applyFont="1" applyFill="1" applyBorder="1" applyAlignment="1">
      <alignment horizontal="right" vertical="center"/>
    </xf>
    <xf numFmtId="0" fontId="20" fillId="5" borderId="3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ark.intel.com/content/www/us/en/ark/products/120474/intel-xeon-gold-5120-processor-19-25m-cache-2-20-ghz.html" TargetMode="External"/><Relationship Id="rId13" Type="http://schemas.openxmlformats.org/officeDocument/2006/relationships/hyperlink" Target="https://store.supermicro.com/8gb-ddr4-2400-mem-dr480l-hl01-un24.html" TargetMode="External"/><Relationship Id="rId18" Type="http://schemas.openxmlformats.org/officeDocument/2006/relationships/hyperlink" Target="https://www.supermicro.com/products/accessories/addon/AOC-MH25G-m2S2T.cfm" TargetMode="External"/><Relationship Id="rId26" Type="http://schemas.openxmlformats.org/officeDocument/2006/relationships/hyperlink" Target="https://store.mellanox.com/products/mellanox-mc2210130-001-passive-copper-cable-ethernet-40gbe-qsfp-1m.html" TargetMode="External"/><Relationship Id="rId3" Type="http://schemas.openxmlformats.org/officeDocument/2006/relationships/hyperlink" Target="https://www.supermicro.com/products/system/1U/5019/SYS-5019S-WR.cfm" TargetMode="External"/><Relationship Id="rId21" Type="http://schemas.openxmlformats.org/officeDocument/2006/relationships/hyperlink" Target="http://www.mellanox.com/page/products_dyn?product_family=201&amp;mtag=connectx_4_vpi_card" TargetMode="External"/><Relationship Id="rId7" Type="http://schemas.openxmlformats.org/officeDocument/2006/relationships/hyperlink" Target="https://www.supermicro.com/products/system/2U/2029/SYS-2029BT-HNR.cfm" TargetMode="External"/><Relationship Id="rId12" Type="http://schemas.openxmlformats.org/officeDocument/2006/relationships/hyperlink" Target="https://store.supermicro.com/64gb-ddr4-2666-mem-dr464l-hl01-lr26.html" TargetMode="External"/><Relationship Id="rId17" Type="http://schemas.openxmlformats.org/officeDocument/2006/relationships/hyperlink" Target="https://ark.intel.com/content/www/us/en/ark/products/148630/intel-ssd-dc-p4101-series-1-024tb-m-2-80mm-pcie-3-0-x4-3d2-tlc.html" TargetMode="External"/><Relationship Id="rId25" Type="http://schemas.openxmlformats.org/officeDocument/2006/relationships/hyperlink" Target="https://store.mellanox.com/products/mellanox-msx60-dkit-rack-installation-kit-for-switchx-2-12-ports-series-short-depth-1u-switches-allows-installation-of-one-or-two-switches-side-by-side-into-standard-depth-racks.html" TargetMode="External"/><Relationship Id="rId2" Type="http://schemas.openxmlformats.org/officeDocument/2006/relationships/hyperlink" Target="https://www.supermicro.com/products/system/4u/6048/ssg-6048r-e1cr36n.cfm" TargetMode="External"/><Relationship Id="rId16" Type="http://schemas.openxmlformats.org/officeDocument/2006/relationships/hyperlink" Target="https://www.intel.com/content/www/us/en/products/memory-storage/solid-state-drives/data-center-ssds/dc-p4510-series/dc-p4510-1tb-2-5inch-3d2.html" TargetMode="External"/><Relationship Id="rId20" Type="http://schemas.openxmlformats.org/officeDocument/2006/relationships/hyperlink" Target="https://www.supermicro.com/products/accessories/addon/AOC-MHIBE-m1CG.cfm" TargetMode="External"/><Relationship Id="rId29" Type="http://schemas.openxmlformats.org/officeDocument/2006/relationships/hyperlink" Target="https://www.startech.com/be/Cards-Adapters/Serial-Cards-Adapters/USB-to-RS232-Serial-Adapter-Cable~ICUSB232V2" TargetMode="External"/><Relationship Id="rId1" Type="http://schemas.openxmlformats.org/officeDocument/2006/relationships/hyperlink" Target="https://www.qct.io/product/index/Storage/Storage-Server/4U-Storage-Server/QuantaPlex-T21P-4U" TargetMode="External"/><Relationship Id="rId6" Type="http://schemas.openxmlformats.org/officeDocument/2006/relationships/hyperlink" Target="https://www.supermicro.com/products/system/1U/5019/SYS-5019C-MR.cfm" TargetMode="External"/><Relationship Id="rId11" Type="http://schemas.openxmlformats.org/officeDocument/2006/relationships/hyperlink" Target="https://store.supermicro.com/32gb-ddr4-2666-mem-dr432l-sl03-er26.html" TargetMode="External"/><Relationship Id="rId24" Type="http://schemas.openxmlformats.org/officeDocument/2006/relationships/hyperlink" Target="https://store.mellanox.com/products/mellanox-msn2700-cs2r-spectrum-100gbe-1u-open-ethernet-switch-with-mellanox-onyx-32-qsfp28-ports-2-power-supplies-ac-x86-cpu-standard-depth-c2p-airflow-rail-kit-rohs6.html" TargetMode="External"/><Relationship Id="rId5" Type="http://schemas.openxmlformats.org/officeDocument/2006/relationships/hyperlink" Target="https://www.supermicro.com/products/system/2U/6029/SSG-6029P-E1CR24H.cfm" TargetMode="External"/><Relationship Id="rId15" Type="http://schemas.openxmlformats.org/officeDocument/2006/relationships/hyperlink" Target="https://ark.intel.com/content/www/us/en/ark/products/134919/intel-ssd-d3-s4610-series-480gb-2-5in-sata-6gb-s-3d2-tlc.html" TargetMode="External"/><Relationship Id="rId23" Type="http://schemas.openxmlformats.org/officeDocument/2006/relationships/hyperlink" Target="https://www.supermicro.com/products/accessories/Networking/SSE-G3648B.cfm" TargetMode="External"/><Relationship Id="rId28" Type="http://schemas.openxmlformats.org/officeDocument/2006/relationships/hyperlink" Target="https://store.mellanox.com/products/mellanox-mcp1600-c003e26n-passive-copper-cable-eth-100gbe-qsfp28-3m-black-26awg-ca-n.html" TargetMode="External"/><Relationship Id="rId10" Type="http://schemas.openxmlformats.org/officeDocument/2006/relationships/hyperlink" Target="https://ark.intel.com/content/www/us/en/ark/products/134856/intel-xeon-e-2124-processor-8m-cache-up-to-4-30-ghz.html" TargetMode="External"/><Relationship Id="rId19" Type="http://schemas.openxmlformats.org/officeDocument/2006/relationships/hyperlink" Target="https://www.supermicro.com/products/accessories/addon/AOC-MHIBF-m2Q2G.cfm" TargetMode="External"/><Relationship Id="rId31" Type="http://schemas.openxmlformats.org/officeDocument/2006/relationships/comments" Target="../comments3.xml"/><Relationship Id="rId4" Type="http://schemas.openxmlformats.org/officeDocument/2006/relationships/hyperlink" Target="https://www.supermicro.com/products/system/2U/2029/SYS-2029BT-HNTR.cfm" TargetMode="External"/><Relationship Id="rId9" Type="http://schemas.openxmlformats.org/officeDocument/2006/relationships/hyperlink" Target="https://ark.intel.com/content/www/us/en/ark/products/123550/intel-xeon-silver-4114-processor-13-75m-cache-2-20-ghz.html" TargetMode="External"/><Relationship Id="rId14" Type="http://schemas.openxmlformats.org/officeDocument/2006/relationships/hyperlink" Target="https://ark.intel.com/content/www/us/en/ark/products/134917/intel-ssd-d3-s4610-series-960gb-2-5in-sata-6gb-s-3d2-tlc.html" TargetMode="External"/><Relationship Id="rId22" Type="http://schemas.openxmlformats.org/officeDocument/2006/relationships/hyperlink" Target="https://store.mellanox.com/products/mellanox-mcx455a-ecat-connectx-4-vpi-adapter-card-edr-ib-and-100gbe-single-port-qsfp28-pcie3-0-x16-rohs-r6.html" TargetMode="External"/><Relationship Id="rId27" Type="http://schemas.openxmlformats.org/officeDocument/2006/relationships/hyperlink" Target="https://store.mellanox.com/products/mellanox-mc2309130-001-passive-copper-hybrid-cable-ethernet-10gbe-qsfp-to-sfp-1m.html" TargetMode="External"/><Relationship Id="rId30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9"/>
  <sheetViews>
    <sheetView showGridLines="0" tabSelected="1" workbookViewId="0">
      <pane xSplit="4" topLeftCell="E1" activePane="topRight" state="frozen"/>
      <selection pane="topRight" activeCell="S60" sqref="S60"/>
    </sheetView>
  </sheetViews>
  <sheetFormatPr baseColWidth="10" defaultColWidth="14.5" defaultRowHeight="15" customHeight="1" x14ac:dyDescent="0.15"/>
  <cols>
    <col min="1" max="1" width="2.6640625" customWidth="1"/>
    <col min="2" max="2" width="69.83203125" customWidth="1"/>
    <col min="3" max="3" width="56.6640625" customWidth="1"/>
    <col min="4" max="4" width="6" customWidth="1"/>
    <col min="5" max="5" width="5.5" customWidth="1"/>
    <col min="6" max="9" width="11.5" customWidth="1"/>
    <col min="10" max="11" width="11.5" hidden="1" customWidth="1"/>
    <col min="12" max="12" width="11.5" customWidth="1"/>
    <col min="13" max="13" width="11.5" hidden="1" customWidth="1"/>
    <col min="14" max="14" width="11.5" customWidth="1"/>
    <col min="15" max="18" width="11.5" hidden="1" customWidth="1"/>
    <col min="19" max="19" width="11.5" customWidth="1"/>
    <col min="20" max="21" width="14.5" customWidth="1"/>
    <col min="22" max="22" width="6.83203125" customWidth="1"/>
  </cols>
  <sheetData>
    <row r="1" spans="1:22" ht="15.75" customHeight="1" x14ac:dyDescent="0.15">
      <c r="A1" s="14"/>
      <c r="B1" s="14"/>
      <c r="C1" s="33"/>
      <c r="D1" s="2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V1" s="2"/>
    </row>
    <row r="2" spans="1:22" ht="15.75" customHeight="1" x14ac:dyDescent="0.15">
      <c r="A2" s="35"/>
      <c r="B2" s="35" t="s">
        <v>30</v>
      </c>
      <c r="C2" s="33"/>
      <c r="D2" s="14"/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V2" s="2"/>
    </row>
    <row r="3" spans="1:22" ht="7.5" customHeight="1" x14ac:dyDescent="0.15">
      <c r="A3" s="11"/>
      <c r="B3" s="11"/>
      <c r="C3" s="33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2"/>
    </row>
    <row r="4" spans="1:22" ht="15.75" customHeight="1" x14ac:dyDescent="0.15">
      <c r="A4" s="14"/>
      <c r="B4" s="14" t="s">
        <v>31</v>
      </c>
      <c r="C4" s="39" t="s">
        <v>32</v>
      </c>
      <c r="D4" s="14"/>
      <c r="E4" s="2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V4" s="2"/>
    </row>
    <row r="5" spans="1:22" ht="15.75" customHeight="1" x14ac:dyDescent="0.15">
      <c r="A5" s="14"/>
      <c r="B5" s="14" t="s">
        <v>35</v>
      </c>
      <c r="C5" s="43">
        <v>3500</v>
      </c>
      <c r="D5" s="14"/>
      <c r="E5" s="2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V5" s="2"/>
    </row>
    <row r="6" spans="1:22" ht="15.75" customHeight="1" x14ac:dyDescent="0.15">
      <c r="A6" s="14"/>
      <c r="B6" s="14" t="s">
        <v>39</v>
      </c>
      <c r="C6" s="46">
        <v>0</v>
      </c>
      <c r="D6" s="14"/>
      <c r="E6" s="14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V6" s="2"/>
    </row>
    <row r="7" spans="1:22" ht="15.75" customHeight="1" x14ac:dyDescent="0.15">
      <c r="A7" s="14"/>
      <c r="B7" s="14" t="s">
        <v>42</v>
      </c>
      <c r="C7" s="47">
        <v>0</v>
      </c>
      <c r="D7" s="14"/>
      <c r="E7" s="14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V7" s="2"/>
    </row>
    <row r="8" spans="1:22" ht="7.5" customHeight="1" x14ac:dyDescent="0.15">
      <c r="A8" s="11"/>
      <c r="B8" s="11"/>
      <c r="C8" s="39"/>
      <c r="D8" s="14"/>
      <c r="E8" s="2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V8" s="2"/>
    </row>
    <row r="9" spans="1:22" ht="15.75" customHeight="1" x14ac:dyDescent="0.15">
      <c r="A9" s="14"/>
      <c r="B9" s="14" t="s">
        <v>43</v>
      </c>
      <c r="C9" s="48">
        <v>0.1</v>
      </c>
      <c r="D9" s="14"/>
      <c r="E9" s="14" t="s">
        <v>44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V9" s="2"/>
    </row>
    <row r="10" spans="1:22" ht="15.75" customHeight="1" x14ac:dyDescent="0.15">
      <c r="A10" s="11"/>
      <c r="B10" s="11"/>
      <c r="C10" s="39"/>
      <c r="D10" s="14"/>
      <c r="E10" s="2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V10" s="2"/>
    </row>
    <row r="11" spans="1:22" ht="15.75" customHeight="1" x14ac:dyDescent="0.15">
      <c r="A11" s="11"/>
      <c r="B11" s="11" t="s">
        <v>45</v>
      </c>
      <c r="C11" s="49" t="s">
        <v>46</v>
      </c>
      <c r="D11" s="14"/>
      <c r="E11" s="2"/>
      <c r="F11" s="51" t="s">
        <v>47</v>
      </c>
      <c r="G11" s="51" t="s">
        <v>48</v>
      </c>
      <c r="H11" s="51" t="s">
        <v>49</v>
      </c>
      <c r="I11" s="51" t="s">
        <v>50</v>
      </c>
      <c r="J11" s="51" t="s">
        <v>51</v>
      </c>
      <c r="K11" s="51" t="s">
        <v>52</v>
      </c>
      <c r="L11" s="51" t="s">
        <v>46</v>
      </c>
      <c r="M11" s="52" t="s">
        <v>53</v>
      </c>
      <c r="N11" s="51" t="s">
        <v>54</v>
      </c>
      <c r="O11" s="51" t="s">
        <v>55</v>
      </c>
      <c r="P11" s="51" t="s">
        <v>56</v>
      </c>
      <c r="Q11" s="51" t="s">
        <v>57</v>
      </c>
      <c r="R11" s="51" t="s">
        <v>58</v>
      </c>
      <c r="S11" s="53"/>
      <c r="V11" s="2"/>
    </row>
    <row r="12" spans="1:22" ht="15.75" customHeight="1" x14ac:dyDescent="0.15">
      <c r="A12" s="11"/>
      <c r="B12" s="11" t="s">
        <v>59</v>
      </c>
      <c r="C12" s="33"/>
      <c r="D12" s="2"/>
      <c r="E12" s="2"/>
      <c r="F12" s="51"/>
      <c r="G12" s="51"/>
      <c r="H12" s="51"/>
      <c r="I12" s="51"/>
      <c r="J12" s="51"/>
      <c r="K12" s="51"/>
      <c r="L12" s="51"/>
      <c r="M12" s="2"/>
      <c r="N12" s="2"/>
      <c r="O12" s="2"/>
      <c r="P12" s="2"/>
      <c r="Q12" s="2"/>
      <c r="R12" s="2"/>
      <c r="S12" s="2"/>
      <c r="V12" s="34">
        <v>2</v>
      </c>
    </row>
    <row r="13" spans="1:22" ht="15.75" customHeight="1" x14ac:dyDescent="0.15">
      <c r="A13" s="14"/>
      <c r="B13" s="34" t="s">
        <v>60</v>
      </c>
      <c r="C13" s="55" t="str">
        <f>HLOOKUP($C$11,$F$11:$R$52,V14,FALSE)</f>
        <v>S-All</v>
      </c>
      <c r="D13" s="55"/>
      <c r="E13" s="55"/>
      <c r="F13" s="55" t="s">
        <v>63</v>
      </c>
      <c r="G13" s="55" t="s">
        <v>63</v>
      </c>
      <c r="H13" s="55" t="s">
        <v>63</v>
      </c>
      <c r="I13" s="55" t="s">
        <v>63</v>
      </c>
      <c r="J13" s="55" t="str">
        <f>F13</f>
        <v>S-All</v>
      </c>
      <c r="K13" s="55" t="str">
        <f>F13</f>
        <v>S-All</v>
      </c>
      <c r="L13" s="55" t="s">
        <v>63</v>
      </c>
      <c r="M13" s="55" t="s">
        <v>63</v>
      </c>
      <c r="N13" s="55" t="s">
        <v>63</v>
      </c>
      <c r="O13" s="55" t="s">
        <v>62</v>
      </c>
      <c r="P13" s="55" t="s">
        <v>62</v>
      </c>
      <c r="Q13" s="55" t="s">
        <v>62</v>
      </c>
      <c r="R13" s="55" t="s">
        <v>62</v>
      </c>
      <c r="S13" s="56"/>
      <c r="V13" s="14">
        <v>3</v>
      </c>
    </row>
    <row r="14" spans="1:22" ht="15.75" customHeight="1" x14ac:dyDescent="0.15">
      <c r="A14" s="14"/>
      <c r="B14" s="14" t="s">
        <v>65</v>
      </c>
      <c r="C14" s="55" t="str">
        <f>HLOOKUP($C$11,$F$11:$R$52,V15,FALSE)</f>
        <v>GTC100012</v>
      </c>
      <c r="D14" s="55"/>
      <c r="E14" s="55"/>
      <c r="F14" s="55" t="s">
        <v>68</v>
      </c>
      <c r="G14" s="55" t="s">
        <v>68</v>
      </c>
      <c r="H14" s="55" t="s">
        <v>68</v>
      </c>
      <c r="I14" s="55" t="s">
        <v>68</v>
      </c>
      <c r="J14" s="55" t="str">
        <f>F14</f>
        <v>GTC100012</v>
      </c>
      <c r="K14" s="55" t="str">
        <f>F14</f>
        <v>GTC100012</v>
      </c>
      <c r="L14" s="55" t="s">
        <v>68</v>
      </c>
      <c r="M14" s="55" t="s">
        <v>68</v>
      </c>
      <c r="N14" s="55" t="s">
        <v>68</v>
      </c>
      <c r="O14" s="57" t="s">
        <v>66</v>
      </c>
      <c r="P14" s="58" t="s">
        <v>67</v>
      </c>
      <c r="Q14" s="58" t="s">
        <v>67</v>
      </c>
      <c r="R14" s="57" t="s">
        <v>66</v>
      </c>
      <c r="S14" s="56"/>
      <c r="V14" s="14">
        <v>3</v>
      </c>
    </row>
    <row r="15" spans="1:22" ht="15.75" customHeight="1" x14ac:dyDescent="0.15">
      <c r="A15" s="14"/>
      <c r="B15" s="14" t="s">
        <v>70</v>
      </c>
      <c r="C15" s="55">
        <f>HLOOKUP($C$11,$F$11:$R$52,V16,FALSE)</f>
        <v>5</v>
      </c>
      <c r="D15" s="55"/>
      <c r="E15" s="55"/>
      <c r="F15" s="55">
        <v>1</v>
      </c>
      <c r="G15" s="55">
        <v>1</v>
      </c>
      <c r="H15" s="55">
        <v>2</v>
      </c>
      <c r="I15" s="55">
        <v>2</v>
      </c>
      <c r="J15" s="55">
        <f>F15</f>
        <v>1</v>
      </c>
      <c r="K15" s="55">
        <f>F15</f>
        <v>1</v>
      </c>
      <c r="L15" s="55">
        <v>5</v>
      </c>
      <c r="M15" s="55">
        <v>1</v>
      </c>
      <c r="N15" s="55">
        <v>5</v>
      </c>
      <c r="O15" s="59">
        <v>2</v>
      </c>
      <c r="P15" s="60">
        <v>2</v>
      </c>
      <c r="Q15" s="59">
        <v>6</v>
      </c>
      <c r="R15" s="61">
        <v>4</v>
      </c>
      <c r="S15" s="62"/>
      <c r="V15" s="14">
        <f t="shared" ref="V15:V46" si="0">V14+1</f>
        <v>4</v>
      </c>
    </row>
    <row r="16" spans="1:22" ht="15.75" customHeight="1" x14ac:dyDescent="0.15">
      <c r="A16" s="14"/>
      <c r="B16" s="14" t="s">
        <v>72</v>
      </c>
      <c r="C16" s="55" t="str">
        <f>HLOOKUP($C$11,$F$11:$R$52,V17,FALSE)</f>
        <v>.</v>
      </c>
      <c r="D16" s="55"/>
      <c r="E16" s="55"/>
      <c r="F16" s="55" t="s">
        <v>73</v>
      </c>
      <c r="G16" s="55" t="s">
        <v>73</v>
      </c>
      <c r="H16" s="55" t="s">
        <v>73</v>
      </c>
      <c r="I16" s="55" t="s">
        <v>73</v>
      </c>
      <c r="J16" s="55" t="str">
        <f>F16</f>
        <v>.</v>
      </c>
      <c r="K16" s="55" t="str">
        <f>F16</f>
        <v>.</v>
      </c>
      <c r="L16" s="55" t="s">
        <v>73</v>
      </c>
      <c r="M16" s="55" t="s">
        <v>73</v>
      </c>
      <c r="N16" s="55" t="s">
        <v>73</v>
      </c>
      <c r="O16" s="61" t="s">
        <v>73</v>
      </c>
      <c r="P16" s="63" t="s">
        <v>73</v>
      </c>
      <c r="Q16" s="59" t="s">
        <v>73</v>
      </c>
      <c r="R16" s="61" t="s">
        <v>73</v>
      </c>
      <c r="S16" s="62"/>
      <c r="V16" s="14">
        <f t="shared" si="0"/>
        <v>5</v>
      </c>
    </row>
    <row r="17" spans="1:22" ht="15.75" customHeight="1" x14ac:dyDescent="0.15">
      <c r="A17" s="14"/>
      <c r="B17" s="14" t="s">
        <v>75</v>
      </c>
      <c r="C17" s="55">
        <f>HLOOKUP($C$11,$F$11:$R$52,V18,FALSE)</f>
        <v>2</v>
      </c>
      <c r="D17" s="55"/>
      <c r="E17" s="55"/>
      <c r="F17" s="55">
        <v>2</v>
      </c>
      <c r="G17" s="55">
        <v>2</v>
      </c>
      <c r="H17" s="55">
        <v>2</v>
      </c>
      <c r="I17" s="55">
        <v>2</v>
      </c>
      <c r="J17" s="55">
        <f>F17</f>
        <v>2</v>
      </c>
      <c r="K17" s="55">
        <f>F17</f>
        <v>2</v>
      </c>
      <c r="L17" s="55">
        <v>2</v>
      </c>
      <c r="M17" s="55">
        <v>2</v>
      </c>
      <c r="N17" s="55">
        <v>2</v>
      </c>
      <c r="O17" s="61">
        <v>2</v>
      </c>
      <c r="P17" s="63">
        <v>2</v>
      </c>
      <c r="Q17" s="59">
        <v>2</v>
      </c>
      <c r="R17" s="61">
        <v>2</v>
      </c>
      <c r="S17" s="62"/>
      <c r="V17" s="14">
        <f t="shared" si="0"/>
        <v>6</v>
      </c>
    </row>
    <row r="18" spans="1:22" ht="15.75" customHeight="1" x14ac:dyDescent="0.15">
      <c r="A18" s="14"/>
      <c r="B18" s="34" t="s">
        <v>77</v>
      </c>
      <c r="C18" s="55" t="str">
        <f>HLOOKUP($C$11,$F$11:$R$52,V19,FALSE)</f>
        <v>sn</v>
      </c>
      <c r="D18" s="55"/>
      <c r="E18" s="55"/>
      <c r="F18" s="55" t="s">
        <v>79</v>
      </c>
      <c r="G18" s="55" t="s">
        <v>79</v>
      </c>
      <c r="H18" s="55" t="s">
        <v>79</v>
      </c>
      <c r="I18" s="55" t="s">
        <v>79</v>
      </c>
      <c r="J18" s="55" t="str">
        <f>F18</f>
        <v>sn</v>
      </c>
      <c r="K18" s="55" t="str">
        <f>F18</f>
        <v>sn</v>
      </c>
      <c r="L18" s="55" t="s">
        <v>79</v>
      </c>
      <c r="M18" s="55" t="s">
        <v>79</v>
      </c>
      <c r="N18" s="55" t="s">
        <v>79</v>
      </c>
      <c r="O18" s="59" t="s">
        <v>79</v>
      </c>
      <c r="P18" s="60" t="s">
        <v>79</v>
      </c>
      <c r="Q18" s="59" t="s">
        <v>78</v>
      </c>
      <c r="R18" s="59" t="s">
        <v>78</v>
      </c>
      <c r="S18" s="62"/>
      <c r="V18" s="14">
        <f t="shared" si="0"/>
        <v>7</v>
      </c>
    </row>
    <row r="19" spans="1:22" ht="15.75" customHeight="1" x14ac:dyDescent="0.15">
      <c r="A19" s="14"/>
      <c r="B19" s="14" t="s">
        <v>81</v>
      </c>
      <c r="C19" s="55">
        <f>HLOOKUP($C$11,$F$11:$R$52,V20,FALSE)</f>
        <v>4</v>
      </c>
      <c r="D19" s="55"/>
      <c r="E19" s="55"/>
      <c r="F19" s="55">
        <v>4</v>
      </c>
      <c r="G19" s="55">
        <v>4</v>
      </c>
      <c r="H19" s="55">
        <v>4</v>
      </c>
      <c r="I19" s="55">
        <v>4</v>
      </c>
      <c r="J19" s="55">
        <f>F19</f>
        <v>4</v>
      </c>
      <c r="K19" s="55">
        <f>F19</f>
        <v>4</v>
      </c>
      <c r="L19" s="55">
        <v>4</v>
      </c>
      <c r="M19" s="55">
        <v>4</v>
      </c>
      <c r="N19" s="55">
        <v>4</v>
      </c>
      <c r="O19" s="61">
        <v>4</v>
      </c>
      <c r="P19" s="63">
        <v>1</v>
      </c>
      <c r="Q19" s="59">
        <v>1</v>
      </c>
      <c r="R19" s="61">
        <v>4</v>
      </c>
      <c r="S19" s="62"/>
      <c r="V19" s="14">
        <f t="shared" si="0"/>
        <v>8</v>
      </c>
    </row>
    <row r="20" spans="1:22" ht="15.75" customHeight="1" x14ac:dyDescent="0.15">
      <c r="A20" s="14"/>
      <c r="B20" s="14" t="s">
        <v>82</v>
      </c>
      <c r="C20" s="55" t="str">
        <f>HLOOKUP($C$11,$F$11:$R$52,V21,FALSE)</f>
        <v>GTC110011</v>
      </c>
      <c r="D20" s="55"/>
      <c r="E20" s="55"/>
      <c r="F20" s="55" t="s">
        <v>84</v>
      </c>
      <c r="G20" s="55" t="s">
        <v>84</v>
      </c>
      <c r="H20" s="55" t="s">
        <v>84</v>
      </c>
      <c r="I20" s="55" t="s">
        <v>84</v>
      </c>
      <c r="J20" s="55" t="str">
        <f>F20</f>
        <v>GTC110011</v>
      </c>
      <c r="K20" s="55" t="str">
        <f>F20</f>
        <v>GTC110011</v>
      </c>
      <c r="L20" s="55" t="s">
        <v>84</v>
      </c>
      <c r="M20" s="55" t="s">
        <v>84</v>
      </c>
      <c r="N20" s="55" t="s">
        <v>84</v>
      </c>
      <c r="O20" s="68" t="s">
        <v>83</v>
      </c>
      <c r="P20" s="68" t="s">
        <v>83</v>
      </c>
      <c r="Q20" s="68" t="s">
        <v>83</v>
      </c>
      <c r="R20" s="68" t="s">
        <v>83</v>
      </c>
      <c r="S20" s="56"/>
      <c r="V20" s="14">
        <f t="shared" si="0"/>
        <v>9</v>
      </c>
    </row>
    <row r="21" spans="1:22" ht="15.75" customHeight="1" x14ac:dyDescent="0.15">
      <c r="A21" s="14"/>
      <c r="B21" s="14" t="s">
        <v>85</v>
      </c>
      <c r="C21" s="55">
        <f>HLOOKUP($C$11,$F$11:$R$52,V22,FALSE)</f>
        <v>2</v>
      </c>
      <c r="D21" s="55"/>
      <c r="E21" s="55"/>
      <c r="F21" s="55">
        <v>2</v>
      </c>
      <c r="G21" s="55">
        <v>2</v>
      </c>
      <c r="H21" s="55">
        <v>2</v>
      </c>
      <c r="I21" s="55">
        <v>2</v>
      </c>
      <c r="J21" s="55">
        <f>F21</f>
        <v>2</v>
      </c>
      <c r="K21" s="55">
        <f>F21</f>
        <v>2</v>
      </c>
      <c r="L21" s="55">
        <v>2</v>
      </c>
      <c r="M21" s="55">
        <v>2</v>
      </c>
      <c r="N21" s="55">
        <v>2</v>
      </c>
      <c r="O21" s="61">
        <v>2</v>
      </c>
      <c r="P21" s="61">
        <v>2</v>
      </c>
      <c r="Q21" s="59">
        <v>1</v>
      </c>
      <c r="R21" s="61">
        <v>2</v>
      </c>
      <c r="S21" s="62"/>
      <c r="V21" s="14">
        <f t="shared" si="0"/>
        <v>10</v>
      </c>
    </row>
    <row r="22" spans="1:22" ht="15.75" customHeight="1" x14ac:dyDescent="0.15">
      <c r="A22" s="14"/>
      <c r="B22" s="14" t="s">
        <v>87</v>
      </c>
      <c r="C22" s="55" t="str">
        <f>HLOOKUP($C$11,$F$11:$R$52,V23,FALSE)</f>
        <v>GTC130027</v>
      </c>
      <c r="D22" s="55"/>
      <c r="E22" s="55"/>
      <c r="F22" s="55" t="s">
        <v>89</v>
      </c>
      <c r="G22" s="55" t="s">
        <v>89</v>
      </c>
      <c r="H22" s="55" t="s">
        <v>89</v>
      </c>
      <c r="I22" s="55" t="s">
        <v>89</v>
      </c>
      <c r="J22" s="55" t="str">
        <f>F22</f>
        <v>GTC130027</v>
      </c>
      <c r="K22" s="55" t="str">
        <f>F22</f>
        <v>GTC130027</v>
      </c>
      <c r="L22" s="55" t="s">
        <v>89</v>
      </c>
      <c r="M22" s="55" t="s">
        <v>89</v>
      </c>
      <c r="N22" s="55" t="s">
        <v>89</v>
      </c>
      <c r="O22" s="71" t="s">
        <v>88</v>
      </c>
      <c r="P22" s="71" t="s">
        <v>88</v>
      </c>
      <c r="Q22" s="71" t="s">
        <v>88</v>
      </c>
      <c r="R22" s="71" t="s">
        <v>88</v>
      </c>
      <c r="S22" s="62"/>
      <c r="V22" s="14">
        <f t="shared" si="0"/>
        <v>11</v>
      </c>
    </row>
    <row r="23" spans="1:22" ht="15.75" customHeight="1" x14ac:dyDescent="0.15">
      <c r="A23" s="14"/>
      <c r="B23" s="14" t="s">
        <v>91</v>
      </c>
      <c r="C23" s="55">
        <f>HLOOKUP($C$11,$F$11:$R$52,V24,FALSE)</f>
        <v>4</v>
      </c>
      <c r="D23" s="55"/>
      <c r="E23" s="55"/>
      <c r="F23" s="55">
        <v>4</v>
      </c>
      <c r="G23" s="55">
        <v>4</v>
      </c>
      <c r="H23" s="55">
        <v>4</v>
      </c>
      <c r="I23" s="55">
        <v>4</v>
      </c>
      <c r="J23" s="55">
        <f>F23</f>
        <v>4</v>
      </c>
      <c r="K23" s="55">
        <f>F23</f>
        <v>4</v>
      </c>
      <c r="L23" s="55">
        <v>4</v>
      </c>
      <c r="M23" s="55">
        <v>4</v>
      </c>
      <c r="N23" s="55">
        <v>4</v>
      </c>
      <c r="O23" s="61">
        <v>4</v>
      </c>
      <c r="P23" s="61">
        <v>4</v>
      </c>
      <c r="Q23" s="59">
        <v>6</v>
      </c>
      <c r="R23" s="61">
        <v>4</v>
      </c>
      <c r="S23" s="62"/>
      <c r="V23" s="14">
        <f t="shared" si="0"/>
        <v>12</v>
      </c>
    </row>
    <row r="24" spans="1:22" ht="15.75" customHeight="1" x14ac:dyDescent="0.15">
      <c r="A24" s="73"/>
      <c r="B24" s="73" t="s">
        <v>92</v>
      </c>
      <c r="C24" s="55" t="str">
        <f>HLOOKUP($C$11,$F$11:$R$52,V25,FALSE)</f>
        <v>GTC130027</v>
      </c>
      <c r="D24" s="55"/>
      <c r="E24" s="55"/>
      <c r="F24" s="55" t="s">
        <v>89</v>
      </c>
      <c r="G24" s="55" t="s">
        <v>89</v>
      </c>
      <c r="H24" s="55" t="s">
        <v>89</v>
      </c>
      <c r="I24" s="55" t="s">
        <v>89</v>
      </c>
      <c r="J24" s="55" t="str">
        <f>F24</f>
        <v>GTC130027</v>
      </c>
      <c r="K24" s="55" t="str">
        <f>F24</f>
        <v>GTC130027</v>
      </c>
      <c r="L24" s="55" t="s">
        <v>89</v>
      </c>
      <c r="M24" s="55" t="s">
        <v>89</v>
      </c>
      <c r="N24" s="55" t="s">
        <v>89</v>
      </c>
      <c r="O24" s="63" t="s">
        <v>93</v>
      </c>
      <c r="P24" s="63" t="s">
        <v>93</v>
      </c>
      <c r="Q24" s="71" t="s">
        <v>88</v>
      </c>
      <c r="R24" s="63" t="s">
        <v>93</v>
      </c>
      <c r="S24" s="73"/>
      <c r="U24" s="73"/>
      <c r="V24" s="14">
        <f t="shared" si="0"/>
        <v>13</v>
      </c>
    </row>
    <row r="25" spans="1:22" ht="15.75" customHeight="1" x14ac:dyDescent="0.15">
      <c r="A25" s="73"/>
      <c r="B25" s="73" t="s">
        <v>98</v>
      </c>
      <c r="C25" s="55">
        <f>HLOOKUP($C$11,$F$11:$R$52,V26,FALSE)</f>
        <v>2</v>
      </c>
      <c r="D25" s="55"/>
      <c r="E25" s="55"/>
      <c r="F25" s="55">
        <v>2</v>
      </c>
      <c r="G25" s="55">
        <v>2</v>
      </c>
      <c r="H25" s="55">
        <v>2</v>
      </c>
      <c r="I25" s="55">
        <v>2</v>
      </c>
      <c r="J25" s="55">
        <f>F25</f>
        <v>2</v>
      </c>
      <c r="K25" s="55">
        <f>F25</f>
        <v>2</v>
      </c>
      <c r="L25" s="55">
        <v>2</v>
      </c>
      <c r="M25" s="55">
        <v>2</v>
      </c>
      <c r="N25" s="55">
        <v>2</v>
      </c>
      <c r="O25" s="71">
        <v>2</v>
      </c>
      <c r="P25" s="71">
        <v>2</v>
      </c>
      <c r="Q25" s="76">
        <v>2</v>
      </c>
      <c r="R25" s="71">
        <v>2</v>
      </c>
      <c r="S25" s="73"/>
      <c r="U25" s="73"/>
      <c r="V25" s="14">
        <f t="shared" si="0"/>
        <v>14</v>
      </c>
    </row>
    <row r="26" spans="1:22" ht="15.75" customHeight="1" x14ac:dyDescent="0.15">
      <c r="A26" s="73"/>
      <c r="B26" s="73" t="s">
        <v>100</v>
      </c>
      <c r="C26" s="55" t="str">
        <f>HLOOKUP($C$11,$F$11:$R$52,V27,FALSE)</f>
        <v>GTC130028</v>
      </c>
      <c r="D26" s="55"/>
      <c r="E26" s="55"/>
      <c r="F26" s="55" t="s">
        <v>101</v>
      </c>
      <c r="G26" s="55" t="s">
        <v>101</v>
      </c>
      <c r="H26" s="55" t="s">
        <v>101</v>
      </c>
      <c r="I26" s="55" t="s">
        <v>101</v>
      </c>
      <c r="J26" s="55" t="str">
        <f>F26</f>
        <v>GTC130028</v>
      </c>
      <c r="K26" s="55" t="str">
        <f>F26</f>
        <v>GTC130028</v>
      </c>
      <c r="L26" s="55" t="s">
        <v>101</v>
      </c>
      <c r="M26" s="55" t="s">
        <v>101</v>
      </c>
      <c r="N26" s="55" t="s">
        <v>101</v>
      </c>
      <c r="O26" s="61" t="s">
        <v>73</v>
      </c>
      <c r="P26" s="61" t="s">
        <v>73</v>
      </c>
      <c r="Q26" s="59" t="s">
        <v>73</v>
      </c>
      <c r="R26" s="61" t="s">
        <v>73</v>
      </c>
      <c r="S26" s="73"/>
      <c r="U26" s="73"/>
      <c r="V26" s="14">
        <f t="shared" si="0"/>
        <v>15</v>
      </c>
    </row>
    <row r="27" spans="1:22" ht="15.75" customHeight="1" x14ac:dyDescent="0.15">
      <c r="A27" s="14"/>
      <c r="B27" s="14" t="s">
        <v>102</v>
      </c>
      <c r="C27" s="55">
        <f>HLOOKUP($C$11,$F$11:$R$52,V28,FALSE)</f>
        <v>1</v>
      </c>
      <c r="D27" s="55"/>
      <c r="E27" s="55"/>
      <c r="F27" s="55">
        <v>1</v>
      </c>
      <c r="G27" s="55">
        <v>1</v>
      </c>
      <c r="H27" s="55">
        <v>1</v>
      </c>
      <c r="I27" s="55">
        <v>1</v>
      </c>
      <c r="J27" s="55">
        <f>F27</f>
        <v>1</v>
      </c>
      <c r="K27" s="55">
        <f>F27</f>
        <v>1</v>
      </c>
      <c r="L27" s="55">
        <v>1</v>
      </c>
      <c r="M27" s="55">
        <v>1</v>
      </c>
      <c r="N27" s="55">
        <v>1</v>
      </c>
      <c r="O27" s="61">
        <v>0</v>
      </c>
      <c r="P27" s="61">
        <v>0</v>
      </c>
      <c r="Q27" s="59">
        <v>0</v>
      </c>
      <c r="R27" s="61">
        <v>0</v>
      </c>
      <c r="S27" s="62"/>
      <c r="V27" s="14">
        <f t="shared" si="0"/>
        <v>16</v>
      </c>
    </row>
    <row r="28" spans="1:22" ht="15.75" customHeight="1" x14ac:dyDescent="0.15">
      <c r="A28" s="14"/>
      <c r="B28" s="14" t="s">
        <v>103</v>
      </c>
      <c r="C28" s="55" t="str">
        <f>HLOOKUP($C$11,$F$11:$R$52,V29,FALSE)</f>
        <v>.</v>
      </c>
      <c r="D28" s="55"/>
      <c r="E28" s="55"/>
      <c r="F28" s="55" t="s">
        <v>73</v>
      </c>
      <c r="G28" s="55" t="s">
        <v>73</v>
      </c>
      <c r="H28" s="55" t="s">
        <v>73</v>
      </c>
      <c r="I28" s="55" t="s">
        <v>73</v>
      </c>
      <c r="J28" s="55" t="str">
        <f>F28</f>
        <v>.</v>
      </c>
      <c r="K28" s="55" t="str">
        <f>F28</f>
        <v>.</v>
      </c>
      <c r="L28" s="55" t="s">
        <v>73</v>
      </c>
      <c r="M28" s="55" t="s">
        <v>73</v>
      </c>
      <c r="N28" s="55" t="s">
        <v>73</v>
      </c>
      <c r="O28" s="61" t="s">
        <v>73</v>
      </c>
      <c r="P28" s="61" t="s">
        <v>73</v>
      </c>
      <c r="Q28" s="59" t="s">
        <v>73</v>
      </c>
      <c r="R28" s="61" t="s">
        <v>73</v>
      </c>
      <c r="S28" s="62"/>
      <c r="V28" s="14">
        <f t="shared" si="0"/>
        <v>17</v>
      </c>
    </row>
    <row r="29" spans="1:22" ht="15.75" customHeight="1" x14ac:dyDescent="0.15">
      <c r="A29" s="14"/>
      <c r="B29" s="14" t="s">
        <v>105</v>
      </c>
      <c r="C29" s="55">
        <f>HLOOKUP($C$11,$F$11:$R$52,V30,FALSE)</f>
        <v>0</v>
      </c>
      <c r="D29" s="55"/>
      <c r="E29" s="55"/>
      <c r="F29" s="55">
        <v>0</v>
      </c>
      <c r="G29" s="55">
        <v>0</v>
      </c>
      <c r="H29" s="55">
        <v>0</v>
      </c>
      <c r="I29" s="55">
        <v>0</v>
      </c>
      <c r="J29" s="55">
        <f>F29</f>
        <v>0</v>
      </c>
      <c r="K29" s="55">
        <f>F29</f>
        <v>0</v>
      </c>
      <c r="L29" s="55">
        <v>0</v>
      </c>
      <c r="M29" s="55">
        <v>0</v>
      </c>
      <c r="N29" s="55">
        <v>0</v>
      </c>
      <c r="O29" s="61">
        <v>0</v>
      </c>
      <c r="P29" s="61">
        <v>0</v>
      </c>
      <c r="Q29" s="59">
        <v>0</v>
      </c>
      <c r="R29" s="61">
        <v>0</v>
      </c>
      <c r="S29" s="62"/>
      <c r="V29" s="14">
        <f t="shared" si="0"/>
        <v>18</v>
      </c>
    </row>
    <row r="30" spans="1:22" ht="15.75" customHeight="1" x14ac:dyDescent="0.15">
      <c r="A30" s="14"/>
      <c r="B30" s="14" t="s">
        <v>106</v>
      </c>
      <c r="C30" s="55" t="str">
        <f>HLOOKUP($C$11,$F$11:$R$52,V31,FALSE)</f>
        <v>GTC120012</v>
      </c>
      <c r="D30" s="55"/>
      <c r="E30" s="55"/>
      <c r="F30" s="55" t="s">
        <v>109</v>
      </c>
      <c r="G30" s="55" t="s">
        <v>110</v>
      </c>
      <c r="H30" s="55" t="s">
        <v>109</v>
      </c>
      <c r="I30" s="55" t="s">
        <v>110</v>
      </c>
      <c r="J30" s="55" t="str">
        <f>F30</f>
        <v>GTC120012</v>
      </c>
      <c r="K30" s="55" t="str">
        <f>F30</f>
        <v>GTC120012</v>
      </c>
      <c r="L30" s="55" t="s">
        <v>109</v>
      </c>
      <c r="M30" s="55" t="s">
        <v>109</v>
      </c>
      <c r="N30" s="55" t="s">
        <v>110</v>
      </c>
      <c r="O30" s="71" t="s">
        <v>108</v>
      </c>
      <c r="P30" s="71" t="s">
        <v>108</v>
      </c>
      <c r="Q30" s="71" t="s">
        <v>107</v>
      </c>
      <c r="R30" s="71" t="s">
        <v>108</v>
      </c>
      <c r="S30" s="62"/>
      <c r="T30" s="73"/>
      <c r="V30" s="14">
        <f t="shared" si="0"/>
        <v>19</v>
      </c>
    </row>
    <row r="31" spans="1:22" ht="15.75" customHeight="1" x14ac:dyDescent="0.15">
      <c r="A31" s="14"/>
      <c r="B31" s="14" t="s">
        <v>111</v>
      </c>
      <c r="C31" s="55">
        <f>HLOOKUP($C$11,$F$11:$R$52,V32,FALSE)</f>
        <v>8</v>
      </c>
      <c r="D31" s="55"/>
      <c r="E31" s="55"/>
      <c r="F31" s="55">
        <v>8</v>
      </c>
      <c r="G31" s="55">
        <v>8</v>
      </c>
      <c r="H31" s="55">
        <v>8</v>
      </c>
      <c r="I31" s="55">
        <v>8</v>
      </c>
      <c r="J31" s="55">
        <v>4</v>
      </c>
      <c r="K31" s="55">
        <f>F31</f>
        <v>8</v>
      </c>
      <c r="L31" s="55">
        <v>8</v>
      </c>
      <c r="M31" s="55">
        <v>8</v>
      </c>
      <c r="N31" s="55">
        <v>8</v>
      </c>
      <c r="O31" s="61">
        <v>8</v>
      </c>
      <c r="P31" s="59">
        <v>4</v>
      </c>
      <c r="Q31" s="59">
        <v>6</v>
      </c>
      <c r="R31" s="61">
        <v>8</v>
      </c>
      <c r="S31" s="62"/>
      <c r="T31" s="73"/>
      <c r="V31" s="14">
        <f t="shared" si="0"/>
        <v>20</v>
      </c>
    </row>
    <row r="32" spans="1:22" ht="15.75" customHeight="1" x14ac:dyDescent="0.15">
      <c r="A32" s="11"/>
      <c r="B32" s="11"/>
      <c r="C32" s="55">
        <f>HLOOKUP($C$11,$F$11:$R$52,V33,FALSE)</f>
        <v>0</v>
      </c>
      <c r="D32" s="55"/>
      <c r="E32" s="55"/>
      <c r="F32" s="55"/>
      <c r="G32" s="55"/>
      <c r="H32" s="55"/>
      <c r="I32" s="55"/>
      <c r="J32" s="55">
        <f>F32</f>
        <v>0</v>
      </c>
      <c r="K32" s="55">
        <f>F32</f>
        <v>0</v>
      </c>
      <c r="L32" s="55"/>
      <c r="M32" s="55"/>
      <c r="N32" s="55"/>
      <c r="O32" s="73"/>
      <c r="P32" s="73"/>
      <c r="Q32" s="73"/>
      <c r="R32" s="73"/>
      <c r="S32" s="62"/>
      <c r="V32" s="14">
        <f t="shared" si="0"/>
        <v>21</v>
      </c>
    </row>
    <row r="33" spans="1:22" ht="15.75" customHeight="1" x14ac:dyDescent="0.15">
      <c r="A33" s="11"/>
      <c r="B33" s="11" t="s">
        <v>114</v>
      </c>
      <c r="C33" s="55">
        <f>HLOOKUP($C$11,$F$11:$R$52,V34,FALSE)</f>
        <v>0</v>
      </c>
      <c r="D33" s="55"/>
      <c r="E33" s="55"/>
      <c r="F33" s="55"/>
      <c r="G33" s="55"/>
      <c r="H33" s="55"/>
      <c r="I33" s="55"/>
      <c r="J33" s="55">
        <f>F33</f>
        <v>0</v>
      </c>
      <c r="K33" s="55">
        <f>F33</f>
        <v>0</v>
      </c>
      <c r="L33" s="55"/>
      <c r="M33" s="55"/>
      <c r="N33" s="55"/>
      <c r="O33" s="73"/>
      <c r="P33" s="73"/>
      <c r="Q33" s="73"/>
      <c r="R33" s="73"/>
      <c r="S33" s="62"/>
      <c r="V33" s="14">
        <f t="shared" si="0"/>
        <v>22</v>
      </c>
    </row>
    <row r="34" spans="1:22" ht="15.75" customHeight="1" x14ac:dyDescent="0.15">
      <c r="A34" s="14"/>
      <c r="B34" s="14" t="s">
        <v>70</v>
      </c>
      <c r="C34" s="55">
        <f>HLOOKUP($C$11,$F$11:$R$52,V35,FALSE)</f>
        <v>6</v>
      </c>
      <c r="D34" s="55"/>
      <c r="E34" s="55"/>
      <c r="F34" s="55">
        <v>2</v>
      </c>
      <c r="G34" s="55">
        <v>2</v>
      </c>
      <c r="H34" s="55">
        <v>4</v>
      </c>
      <c r="I34" s="55">
        <v>4</v>
      </c>
      <c r="J34" s="55">
        <f>F34</f>
        <v>2</v>
      </c>
      <c r="K34" s="55">
        <f>F34</f>
        <v>2</v>
      </c>
      <c r="L34" s="55">
        <v>6</v>
      </c>
      <c r="M34" s="55">
        <v>4</v>
      </c>
      <c r="N34" s="55">
        <v>6</v>
      </c>
      <c r="O34" s="59">
        <v>6</v>
      </c>
      <c r="P34" s="59">
        <v>2</v>
      </c>
      <c r="Q34" s="61">
        <v>2</v>
      </c>
      <c r="R34" s="61">
        <v>2</v>
      </c>
      <c r="S34" s="62"/>
      <c r="V34" s="14">
        <f t="shared" si="0"/>
        <v>23</v>
      </c>
    </row>
    <row r="35" spans="1:22" ht="15.75" customHeight="1" x14ac:dyDescent="0.15">
      <c r="A35" s="14"/>
      <c r="B35" s="14" t="s">
        <v>117</v>
      </c>
      <c r="C35" s="55">
        <f>HLOOKUP($C$11,$F$11:$R$52,V36,FALSE)</f>
        <v>1</v>
      </c>
      <c r="D35" s="55"/>
      <c r="E35" s="55"/>
      <c r="F35" s="55">
        <v>1</v>
      </c>
      <c r="G35" s="55">
        <v>1</v>
      </c>
      <c r="H35" s="55">
        <v>1</v>
      </c>
      <c r="I35" s="55">
        <v>1</v>
      </c>
      <c r="J35" s="55">
        <f>F35</f>
        <v>1</v>
      </c>
      <c r="K35" s="55">
        <f>F35</f>
        <v>1</v>
      </c>
      <c r="L35" s="55">
        <v>1</v>
      </c>
      <c r="M35" s="55">
        <v>1</v>
      </c>
      <c r="N35" s="55">
        <v>1</v>
      </c>
      <c r="O35" s="61">
        <v>1</v>
      </c>
      <c r="P35" s="61">
        <v>1</v>
      </c>
      <c r="Q35" s="61">
        <v>1</v>
      </c>
      <c r="R35" s="61">
        <v>1</v>
      </c>
      <c r="S35" s="62"/>
      <c r="V35" s="14">
        <f t="shared" si="0"/>
        <v>24</v>
      </c>
    </row>
    <row r="36" spans="1:22" ht="15.75" customHeight="1" x14ac:dyDescent="0.15">
      <c r="A36" s="14"/>
      <c r="B36" s="14" t="s">
        <v>119</v>
      </c>
      <c r="C36" s="55" t="str">
        <f>HLOOKUP($C$11,$F$11:$R$52,V37,FALSE)</f>
        <v>GTC130025</v>
      </c>
      <c r="D36" s="55"/>
      <c r="E36" s="55"/>
      <c r="F36" s="55" t="s">
        <v>122</v>
      </c>
      <c r="G36" s="55" t="s">
        <v>122</v>
      </c>
      <c r="H36" s="55" t="s">
        <v>122</v>
      </c>
      <c r="I36" s="55" t="s">
        <v>122</v>
      </c>
      <c r="J36" s="55" t="str">
        <f>F36</f>
        <v>GTC130025</v>
      </c>
      <c r="K36" s="55" t="str">
        <f>F36</f>
        <v>GTC130025</v>
      </c>
      <c r="L36" s="55" t="s">
        <v>122</v>
      </c>
      <c r="M36" s="55" t="s">
        <v>122</v>
      </c>
      <c r="N36" s="55" t="s">
        <v>122</v>
      </c>
      <c r="O36" s="63" t="s">
        <v>88</v>
      </c>
      <c r="P36" s="63" t="s">
        <v>88</v>
      </c>
      <c r="Q36" s="63" t="s">
        <v>88</v>
      </c>
      <c r="R36" s="63" t="s">
        <v>88</v>
      </c>
      <c r="S36" s="62"/>
      <c r="V36" s="14">
        <f t="shared" si="0"/>
        <v>25</v>
      </c>
    </row>
    <row r="37" spans="1:22" ht="15.75" customHeight="1" x14ac:dyDescent="0.15">
      <c r="A37" s="14"/>
      <c r="B37" s="14" t="s">
        <v>125</v>
      </c>
      <c r="C37" s="55">
        <f>HLOOKUP($C$11,$F$11:$R$52,V38,FALSE)</f>
        <v>2</v>
      </c>
      <c r="D37" s="55"/>
      <c r="E37" s="55"/>
      <c r="F37" s="55">
        <v>2</v>
      </c>
      <c r="G37" s="55">
        <v>2</v>
      </c>
      <c r="H37" s="55">
        <v>2</v>
      </c>
      <c r="I37" s="55">
        <v>2</v>
      </c>
      <c r="J37" s="55">
        <f>F37</f>
        <v>2</v>
      </c>
      <c r="K37" s="55">
        <f>F37</f>
        <v>2</v>
      </c>
      <c r="L37" s="55">
        <v>2</v>
      </c>
      <c r="M37" s="55">
        <v>2</v>
      </c>
      <c r="N37" s="55">
        <v>2</v>
      </c>
      <c r="O37" s="63">
        <v>4</v>
      </c>
      <c r="P37" s="63">
        <v>1</v>
      </c>
      <c r="Q37" s="60">
        <v>4</v>
      </c>
      <c r="R37" s="63">
        <v>1</v>
      </c>
      <c r="S37" s="62"/>
      <c r="V37" s="14">
        <f t="shared" si="0"/>
        <v>26</v>
      </c>
    </row>
    <row r="38" spans="1:22" ht="15.75" customHeight="1" x14ac:dyDescent="0.15">
      <c r="A38" s="14"/>
      <c r="B38" s="14" t="s">
        <v>126</v>
      </c>
      <c r="C38" s="55" t="str">
        <f>HLOOKUP($C$11,$F$11:$R$52,V39,FALSE)</f>
        <v>GTC130025</v>
      </c>
      <c r="D38" s="55"/>
      <c r="E38" s="55"/>
      <c r="F38" s="55" t="s">
        <v>122</v>
      </c>
      <c r="G38" s="55" t="s">
        <v>122</v>
      </c>
      <c r="H38" s="55" t="s">
        <v>122</v>
      </c>
      <c r="I38" s="55" t="s">
        <v>122</v>
      </c>
      <c r="J38" s="55" t="str">
        <f>F38</f>
        <v>GTC130025</v>
      </c>
      <c r="K38" s="55" t="str">
        <f>F38</f>
        <v>GTC130025</v>
      </c>
      <c r="L38" s="55" t="s">
        <v>122</v>
      </c>
      <c r="M38" s="55" t="s">
        <v>122</v>
      </c>
      <c r="N38" s="55" t="s">
        <v>122</v>
      </c>
      <c r="O38" s="63" t="s">
        <v>88</v>
      </c>
      <c r="P38" s="63" t="s">
        <v>88</v>
      </c>
      <c r="Q38" s="63" t="s">
        <v>88</v>
      </c>
      <c r="R38" s="63" t="s">
        <v>88</v>
      </c>
      <c r="S38" s="62"/>
      <c r="V38" s="14">
        <f t="shared" si="0"/>
        <v>27</v>
      </c>
    </row>
    <row r="39" spans="1:22" ht="15.75" customHeight="1" x14ac:dyDescent="0.15">
      <c r="A39" s="14"/>
      <c r="B39" s="14" t="s">
        <v>128</v>
      </c>
      <c r="C39" s="55">
        <f>HLOOKUP($C$11,$F$11:$R$52,V40,FALSE)</f>
        <v>2</v>
      </c>
      <c r="D39" s="55"/>
      <c r="E39" s="55"/>
      <c r="F39" s="55">
        <v>2</v>
      </c>
      <c r="G39" s="55">
        <v>2</v>
      </c>
      <c r="H39" s="55">
        <v>2</v>
      </c>
      <c r="I39" s="55">
        <v>2</v>
      </c>
      <c r="J39" s="55">
        <f>F39</f>
        <v>2</v>
      </c>
      <c r="K39" s="55">
        <f>F39</f>
        <v>2</v>
      </c>
      <c r="L39" s="55">
        <v>2</v>
      </c>
      <c r="M39" s="55">
        <v>2</v>
      </c>
      <c r="N39" s="55">
        <v>2</v>
      </c>
      <c r="O39" s="63">
        <v>4</v>
      </c>
      <c r="P39" s="63">
        <v>6</v>
      </c>
      <c r="Q39" s="63">
        <v>6</v>
      </c>
      <c r="R39" s="63">
        <v>6</v>
      </c>
      <c r="S39" s="62"/>
      <c r="V39" s="14">
        <f t="shared" si="0"/>
        <v>28</v>
      </c>
    </row>
    <row r="40" spans="1:22" ht="15.75" customHeight="1" x14ac:dyDescent="0.15">
      <c r="A40" s="14"/>
      <c r="B40" s="14" t="s">
        <v>103</v>
      </c>
      <c r="C40" s="55" t="str">
        <f>HLOOKUP($C$11,$F$11:$R$52,V41,FALSE)</f>
        <v>GTC130018</v>
      </c>
      <c r="D40" s="55"/>
      <c r="E40" s="55"/>
      <c r="F40" s="55" t="s">
        <v>134</v>
      </c>
      <c r="G40" s="55" t="s">
        <v>134</v>
      </c>
      <c r="H40" s="55" t="s">
        <v>134</v>
      </c>
      <c r="I40" s="55" t="s">
        <v>134</v>
      </c>
      <c r="J40" s="55" t="str">
        <f>F40</f>
        <v>GTC130018</v>
      </c>
      <c r="K40" s="55" t="str">
        <f>F40</f>
        <v>GTC130018</v>
      </c>
      <c r="L40" s="55" t="s">
        <v>134</v>
      </c>
      <c r="M40" s="55" t="s">
        <v>132</v>
      </c>
      <c r="N40" s="55" t="s">
        <v>134</v>
      </c>
      <c r="O40" s="87" t="s">
        <v>132</v>
      </c>
      <c r="P40" s="61" t="s">
        <v>131</v>
      </c>
      <c r="Q40" s="61" t="s">
        <v>131</v>
      </c>
      <c r="R40" s="61" t="s">
        <v>131</v>
      </c>
      <c r="S40" s="62"/>
      <c r="V40" s="14">
        <f t="shared" si="0"/>
        <v>29</v>
      </c>
    </row>
    <row r="41" spans="1:22" ht="15.75" customHeight="1" x14ac:dyDescent="0.15">
      <c r="A41" s="14"/>
      <c r="B41" s="14" t="s">
        <v>135</v>
      </c>
      <c r="C41" s="55">
        <f>HLOOKUP($C$11,$F$11:$R$52,V42,FALSE)</f>
        <v>18</v>
      </c>
      <c r="D41" s="55"/>
      <c r="E41" s="55"/>
      <c r="F41" s="55">
        <v>18</v>
      </c>
      <c r="G41" s="55">
        <v>18</v>
      </c>
      <c r="H41" s="55">
        <v>18</v>
      </c>
      <c r="I41" s="55">
        <v>18</v>
      </c>
      <c r="J41" s="55">
        <v>8</v>
      </c>
      <c r="K41" s="55">
        <f>F41</f>
        <v>18</v>
      </c>
      <c r="L41" s="55">
        <v>18</v>
      </c>
      <c r="M41" s="55">
        <v>18</v>
      </c>
      <c r="N41" s="55">
        <v>18</v>
      </c>
      <c r="O41" s="61">
        <v>60</v>
      </c>
      <c r="P41" s="59">
        <v>20</v>
      </c>
      <c r="Q41" s="59">
        <v>30</v>
      </c>
      <c r="R41" s="61">
        <v>60</v>
      </c>
      <c r="S41" s="62"/>
      <c r="V41" s="14">
        <f t="shared" si="0"/>
        <v>30</v>
      </c>
    </row>
    <row r="42" spans="1:22" ht="15.75" customHeight="1" x14ac:dyDescent="0.15">
      <c r="A42" s="11"/>
      <c r="B42" s="88" t="s">
        <v>139</v>
      </c>
      <c r="C42" s="55" t="str">
        <f>HLOOKUP($C$11,$F$11:$R$52,V43,FALSE)</f>
        <v>GTC130027</v>
      </c>
      <c r="D42" s="55"/>
      <c r="E42" s="55"/>
      <c r="F42" s="55" t="s">
        <v>89</v>
      </c>
      <c r="G42" s="55" t="s">
        <v>89</v>
      </c>
      <c r="H42" s="55" t="s">
        <v>89</v>
      </c>
      <c r="I42" s="55" t="s">
        <v>89</v>
      </c>
      <c r="J42" s="55" t="str">
        <f>F42</f>
        <v>GTC130027</v>
      </c>
      <c r="K42" s="55" t="str">
        <f>F42</f>
        <v>GTC130027</v>
      </c>
      <c r="L42" s="55" t="s">
        <v>89</v>
      </c>
      <c r="M42" s="55" t="s">
        <v>89</v>
      </c>
      <c r="N42" s="55" t="s">
        <v>89</v>
      </c>
      <c r="O42" s="91" t="s">
        <v>141</v>
      </c>
      <c r="P42" s="91" t="s">
        <v>141</v>
      </c>
      <c r="Q42" s="91" t="s">
        <v>141</v>
      </c>
      <c r="R42" s="91" t="s">
        <v>141</v>
      </c>
      <c r="S42" s="4"/>
      <c r="V42" s="14">
        <f t="shared" si="0"/>
        <v>31</v>
      </c>
    </row>
    <row r="43" spans="1:22" ht="15.75" customHeight="1" x14ac:dyDescent="0.15">
      <c r="A43" s="11"/>
      <c r="B43" s="88" t="s">
        <v>147</v>
      </c>
      <c r="C43" s="55">
        <f>HLOOKUP($C$11,$F$11:$R$52,V44,FALSE)</f>
        <v>1</v>
      </c>
      <c r="D43" s="55"/>
      <c r="E43" s="55"/>
      <c r="F43" s="55">
        <v>1</v>
      </c>
      <c r="G43" s="55">
        <v>1</v>
      </c>
      <c r="H43" s="55">
        <v>1</v>
      </c>
      <c r="I43" s="55">
        <v>1</v>
      </c>
      <c r="J43" s="55">
        <f>F43</f>
        <v>1</v>
      </c>
      <c r="K43" s="55">
        <f>F43</f>
        <v>1</v>
      </c>
      <c r="L43" s="55">
        <v>1</v>
      </c>
      <c r="M43" s="55">
        <v>1</v>
      </c>
      <c r="N43" s="55">
        <v>1</v>
      </c>
      <c r="O43" s="91">
        <v>2</v>
      </c>
      <c r="P43" s="91">
        <v>2</v>
      </c>
      <c r="Q43" s="91">
        <v>2</v>
      </c>
      <c r="R43" s="91">
        <v>2</v>
      </c>
      <c r="S43" s="4"/>
      <c r="V43" s="14">
        <f t="shared" si="0"/>
        <v>32</v>
      </c>
    </row>
    <row r="44" spans="1:22" ht="15.75" customHeight="1" x14ac:dyDescent="0.15">
      <c r="A44" s="11"/>
      <c r="B44" s="98" t="s">
        <v>151</v>
      </c>
      <c r="C44" s="55">
        <f>HLOOKUP($C$11,$F$11:$R$52,V45,FALSE)</f>
        <v>1.6875</v>
      </c>
      <c r="D44" s="55"/>
      <c r="E44" s="55"/>
      <c r="F44" s="100">
        <v>2</v>
      </c>
      <c r="G44" s="100">
        <v>2</v>
      </c>
      <c r="H44" s="100">
        <f t="shared" ref="H44:I44" si="1">27/16</f>
        <v>1.6875</v>
      </c>
      <c r="I44" s="100">
        <f t="shared" si="1"/>
        <v>1.6875</v>
      </c>
      <c r="J44" s="100">
        <f>F44</f>
        <v>2</v>
      </c>
      <c r="K44" s="100">
        <f>F44</f>
        <v>2</v>
      </c>
      <c r="L44" s="100">
        <f t="shared" ref="L44" si="2">27/16</f>
        <v>1.6875</v>
      </c>
      <c r="M44" s="100">
        <v>1.5</v>
      </c>
      <c r="N44" s="100">
        <f>27/16</f>
        <v>1.6875</v>
      </c>
      <c r="O44" s="107">
        <v>1.5</v>
      </c>
      <c r="P44" s="107">
        <v>1.5</v>
      </c>
      <c r="Q44" s="107">
        <v>1.5</v>
      </c>
      <c r="R44" s="107">
        <v>1.5</v>
      </c>
      <c r="S44" s="4"/>
      <c r="V44" s="14">
        <f t="shared" si="0"/>
        <v>33</v>
      </c>
    </row>
    <row r="45" spans="1:22" ht="15.75" customHeight="1" x14ac:dyDescent="0.15">
      <c r="A45" s="11"/>
      <c r="B45" s="108" t="s">
        <v>156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73"/>
      <c r="P45" s="73"/>
      <c r="Q45" s="73"/>
      <c r="R45" s="73"/>
      <c r="S45" s="4"/>
      <c r="V45" s="14">
        <f t="shared" si="0"/>
        <v>34</v>
      </c>
    </row>
    <row r="46" spans="1:22" ht="15.75" customHeight="1" x14ac:dyDescent="0.15">
      <c r="A46" s="11"/>
      <c r="B46" s="11"/>
      <c r="C46" s="55" t="str">
        <f>HLOOKUP($C$11,$F$11:$R$52,V48,FALSE)</f>
        <v>40G</v>
      </c>
      <c r="D46" s="55"/>
      <c r="E46" s="55"/>
      <c r="F46" s="55" t="s">
        <v>159</v>
      </c>
      <c r="G46" s="55" t="s">
        <v>159</v>
      </c>
      <c r="H46" s="55" t="s">
        <v>159</v>
      </c>
      <c r="I46" s="55" t="s">
        <v>159</v>
      </c>
      <c r="J46" s="55" t="s">
        <v>159</v>
      </c>
      <c r="K46" s="55" t="s">
        <v>160</v>
      </c>
      <c r="L46" s="55" t="s">
        <v>159</v>
      </c>
      <c r="M46" s="55" t="s">
        <v>159</v>
      </c>
      <c r="N46" s="55" t="s">
        <v>159</v>
      </c>
      <c r="O46" s="60" t="s">
        <v>159</v>
      </c>
      <c r="P46" s="60" t="s">
        <v>159</v>
      </c>
      <c r="Q46" s="60" t="s">
        <v>159</v>
      </c>
      <c r="R46" s="60" t="s">
        <v>159</v>
      </c>
      <c r="S46" s="4"/>
      <c r="V46" s="14">
        <f t="shared" si="0"/>
        <v>35</v>
      </c>
    </row>
    <row r="47" spans="1:22" ht="15.75" customHeight="1" x14ac:dyDescent="0.15">
      <c r="A47" s="11"/>
      <c r="B47" s="108" t="s">
        <v>162</v>
      </c>
      <c r="C47" s="55">
        <f>HLOOKUP($C$11,$F$11:$R$52,V12,FALSE)</f>
        <v>0</v>
      </c>
      <c r="D47" s="55"/>
      <c r="E47" s="55"/>
      <c r="F47" s="55" t="s">
        <v>165</v>
      </c>
      <c r="G47" s="55" t="s">
        <v>166</v>
      </c>
      <c r="H47" s="55" t="s">
        <v>167</v>
      </c>
      <c r="I47" s="55" t="s">
        <v>168</v>
      </c>
      <c r="J47" s="55"/>
      <c r="K47" s="55"/>
      <c r="L47" s="55" t="s">
        <v>169</v>
      </c>
      <c r="M47" s="55" t="s">
        <v>53</v>
      </c>
      <c r="N47" s="55" t="s">
        <v>170</v>
      </c>
      <c r="O47" s="51" t="s">
        <v>55</v>
      </c>
      <c r="P47" s="51" t="s">
        <v>56</v>
      </c>
      <c r="Q47" s="51" t="s">
        <v>57</v>
      </c>
      <c r="R47" s="51" t="s">
        <v>58</v>
      </c>
      <c r="S47" s="2"/>
      <c r="V47" s="34">
        <v>1</v>
      </c>
    </row>
    <row r="48" spans="1:22" ht="15.75" customHeight="1" x14ac:dyDescent="0.15">
      <c r="A48" s="11"/>
      <c r="B48" s="11"/>
      <c r="C48" s="33"/>
      <c r="D48" s="2"/>
      <c r="E48" s="2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4"/>
      <c r="V48" s="14">
        <f>V46+1</f>
        <v>36</v>
      </c>
    </row>
    <row r="49" spans="1:22" ht="15.75" customHeight="1" x14ac:dyDescent="0.15">
      <c r="A49" s="11"/>
      <c r="B49" s="11"/>
      <c r="C49" s="33"/>
      <c r="D49" s="2"/>
      <c r="E49" s="2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4"/>
      <c r="V49" s="14">
        <f t="shared" ref="V49:V53" si="3">V48+1</f>
        <v>37</v>
      </c>
    </row>
    <row r="50" spans="1:22" ht="15.75" customHeight="1" x14ac:dyDescent="0.15">
      <c r="A50" s="11"/>
      <c r="B50" s="11"/>
      <c r="C50" s="33"/>
      <c r="D50" s="2"/>
      <c r="E50" s="2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4"/>
      <c r="V50" s="14">
        <f t="shared" si="3"/>
        <v>38</v>
      </c>
    </row>
    <row r="51" spans="1:22" ht="15.75" customHeight="1" x14ac:dyDescent="0.15">
      <c r="A51" s="11"/>
      <c r="B51" s="11" t="s">
        <v>173</v>
      </c>
      <c r="C51" s="33"/>
      <c r="D51" s="2"/>
      <c r="E51" s="2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4"/>
      <c r="V51" s="14">
        <f t="shared" si="3"/>
        <v>39</v>
      </c>
    </row>
    <row r="52" spans="1:22" ht="15.75" customHeight="1" x14ac:dyDescent="0.15">
      <c r="A52" s="14"/>
      <c r="B52" s="14" t="s">
        <v>175</v>
      </c>
      <c r="C52" s="56">
        <f>HLOOKUP($C$11,$F$11:$R$52,V52,FALSE)</f>
        <v>0</v>
      </c>
      <c r="D52" s="2"/>
      <c r="E52" s="2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4"/>
      <c r="V52" s="14">
        <f t="shared" si="3"/>
        <v>40</v>
      </c>
    </row>
    <row r="53" spans="1:22" ht="15.75" customHeight="1" x14ac:dyDescent="0.15">
      <c r="A53" s="2"/>
      <c r="B53" s="2"/>
      <c r="C53" s="33"/>
      <c r="D53" s="2"/>
      <c r="E53" s="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V53" s="14">
        <f t="shared" si="3"/>
        <v>41</v>
      </c>
    </row>
    <row r="54" spans="1:22" ht="15.75" customHeight="1" x14ac:dyDescent="0.15">
      <c r="A54" s="2"/>
      <c r="B54" s="14" t="s">
        <v>177</v>
      </c>
      <c r="C54" s="113">
        <v>0</v>
      </c>
      <c r="D54" s="2"/>
      <c r="E54" s="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V54" s="2"/>
    </row>
    <row r="55" spans="1:22" ht="15.75" customHeight="1" x14ac:dyDescent="0.15">
      <c r="A55" s="2"/>
      <c r="B55" s="14" t="s">
        <v>179</v>
      </c>
      <c r="C55" s="113">
        <v>0</v>
      </c>
      <c r="D55" s="2"/>
      <c r="E55" s="2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V55" s="2"/>
    </row>
    <row r="56" spans="1:22" ht="15.75" customHeight="1" x14ac:dyDescent="0.15">
      <c r="A56" s="2"/>
      <c r="B56" s="14" t="s">
        <v>180</v>
      </c>
      <c r="C56" s="113">
        <v>0.8</v>
      </c>
      <c r="D56" s="2"/>
      <c r="E56" s="2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V56" s="2"/>
    </row>
    <row r="57" spans="1:22" ht="15.75" customHeight="1" x14ac:dyDescent="0.15">
      <c r="A57" s="2"/>
      <c r="B57" s="14" t="s">
        <v>182</v>
      </c>
      <c r="C57" s="113">
        <v>0</v>
      </c>
      <c r="D57" s="2"/>
      <c r="E57" s="14" t="s">
        <v>183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V57" s="2"/>
    </row>
    <row r="58" spans="1:22" ht="15.75" customHeight="1" x14ac:dyDescent="0.15">
      <c r="A58" s="2"/>
      <c r="B58" s="14" t="s">
        <v>184</v>
      </c>
      <c r="C58" s="113">
        <v>1</v>
      </c>
      <c r="D58" s="2"/>
      <c r="E58" s="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V58" s="2"/>
    </row>
    <row r="59" spans="1:22" ht="15.75" customHeight="1" x14ac:dyDescent="0.15">
      <c r="A59" s="2"/>
      <c r="B59" s="2"/>
      <c r="C59" s="33"/>
      <c r="D59" s="2"/>
      <c r="E59" s="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V59" s="2"/>
    </row>
    <row r="60" spans="1:22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V60" s="2"/>
    </row>
    <row r="61" spans="1:22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V61" s="2"/>
    </row>
    <row r="62" spans="1:22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V62" s="2"/>
    </row>
    <row r="63" spans="1:22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V63" s="2"/>
    </row>
    <row r="64" spans="1:22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V64" s="2"/>
    </row>
    <row r="65" spans="1:22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V65" s="2"/>
    </row>
    <row r="66" spans="1:22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V66" s="2"/>
    </row>
    <row r="67" spans="1:22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V67" s="2"/>
    </row>
    <row r="68" spans="1:22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V68" s="2"/>
    </row>
    <row r="69" spans="1:22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V69" s="2"/>
    </row>
    <row r="70" spans="1:22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V70" s="2"/>
    </row>
    <row r="71" spans="1:22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V71" s="2"/>
    </row>
    <row r="72" spans="1:22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V72" s="2"/>
    </row>
    <row r="73" spans="1:22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V73" s="2"/>
    </row>
    <row r="74" spans="1:22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V74" s="2"/>
    </row>
    <row r="75" spans="1:22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V75" s="2"/>
    </row>
    <row r="76" spans="1:22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V76" s="2"/>
    </row>
    <row r="77" spans="1:22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V77" s="2"/>
    </row>
    <row r="78" spans="1:22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V78" s="2"/>
    </row>
    <row r="79" spans="1:22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V79" s="2"/>
    </row>
    <row r="80" spans="1:22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V80" s="2"/>
    </row>
    <row r="81" spans="1:22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V81" s="2"/>
    </row>
    <row r="82" spans="1:22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V82" s="2"/>
    </row>
    <row r="83" spans="1:22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V83" s="2"/>
    </row>
    <row r="84" spans="1:22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V84" s="2"/>
    </row>
    <row r="85" spans="1:22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V85" s="2"/>
    </row>
    <row r="86" spans="1:22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V86" s="2"/>
    </row>
    <row r="87" spans="1:22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V87" s="2"/>
    </row>
    <row r="88" spans="1:22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V88" s="2"/>
    </row>
    <row r="89" spans="1:22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V89" s="2"/>
    </row>
    <row r="90" spans="1:22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V90" s="2"/>
    </row>
    <row r="91" spans="1:22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V91" s="2"/>
    </row>
    <row r="92" spans="1:22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V92" s="2"/>
    </row>
    <row r="93" spans="1:22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V93" s="2"/>
    </row>
    <row r="94" spans="1:22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V94" s="2"/>
    </row>
    <row r="95" spans="1:22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V95" s="2"/>
    </row>
    <row r="96" spans="1:22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V96" s="2"/>
    </row>
    <row r="97" spans="1:22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V97" s="2"/>
    </row>
    <row r="98" spans="1:22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V98" s="2"/>
    </row>
    <row r="99" spans="1:22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V99" s="2"/>
    </row>
    <row r="100" spans="1:22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V100" s="2"/>
    </row>
    <row r="101" spans="1:22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V101" s="2"/>
    </row>
    <row r="102" spans="1:22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V102" s="2"/>
    </row>
    <row r="103" spans="1:22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V103" s="2"/>
    </row>
    <row r="104" spans="1:22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V104" s="2"/>
    </row>
    <row r="105" spans="1:22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V105" s="2"/>
    </row>
    <row r="106" spans="1:22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V106" s="2"/>
    </row>
    <row r="107" spans="1:22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V107" s="2"/>
    </row>
    <row r="108" spans="1:22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V108" s="2"/>
    </row>
    <row r="109" spans="1:22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V109" s="2"/>
    </row>
    <row r="110" spans="1:22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V110" s="2"/>
    </row>
    <row r="111" spans="1:22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V111" s="2"/>
    </row>
    <row r="112" spans="1:22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V112" s="2"/>
    </row>
    <row r="113" spans="1:22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V113" s="2"/>
    </row>
    <row r="114" spans="1:22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V114" s="2"/>
    </row>
    <row r="115" spans="1:22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V115" s="2"/>
    </row>
    <row r="116" spans="1:22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V116" s="2"/>
    </row>
    <row r="117" spans="1:22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V117" s="2"/>
    </row>
    <row r="118" spans="1:22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V118" s="2"/>
    </row>
    <row r="119" spans="1:22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V119" s="2"/>
    </row>
    <row r="120" spans="1:22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V120" s="2"/>
    </row>
    <row r="121" spans="1:22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V121" s="2"/>
    </row>
    <row r="122" spans="1:22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V122" s="2"/>
    </row>
    <row r="123" spans="1:22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V123" s="2"/>
    </row>
    <row r="124" spans="1:22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V124" s="2"/>
    </row>
    <row r="125" spans="1:22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V125" s="2"/>
    </row>
    <row r="126" spans="1:22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V126" s="2"/>
    </row>
    <row r="127" spans="1:22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V127" s="2"/>
    </row>
    <row r="128" spans="1:22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V128" s="2"/>
    </row>
    <row r="129" spans="1:22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V129" s="2"/>
    </row>
    <row r="130" spans="1:22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V130" s="2"/>
    </row>
    <row r="131" spans="1:22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V131" s="2"/>
    </row>
    <row r="132" spans="1:22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V132" s="2"/>
    </row>
    <row r="133" spans="1:22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V133" s="2"/>
    </row>
    <row r="134" spans="1:22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V134" s="2"/>
    </row>
    <row r="135" spans="1:22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V135" s="2"/>
    </row>
    <row r="136" spans="1:22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V136" s="2"/>
    </row>
    <row r="137" spans="1:22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V137" s="2"/>
    </row>
    <row r="138" spans="1:22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V138" s="2"/>
    </row>
    <row r="139" spans="1:22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V139" s="2"/>
    </row>
    <row r="140" spans="1:22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V140" s="2"/>
    </row>
    <row r="141" spans="1:22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V141" s="2"/>
    </row>
    <row r="142" spans="1:22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V142" s="2"/>
    </row>
    <row r="143" spans="1:22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V143" s="2"/>
    </row>
    <row r="144" spans="1:22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V144" s="2"/>
    </row>
    <row r="145" spans="1:22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V145" s="2"/>
    </row>
    <row r="146" spans="1:22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V146" s="2"/>
    </row>
    <row r="147" spans="1:22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V147" s="2"/>
    </row>
    <row r="148" spans="1:22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V148" s="2"/>
    </row>
    <row r="149" spans="1:22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V149" s="2"/>
    </row>
    <row r="150" spans="1:22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V150" s="2"/>
    </row>
    <row r="151" spans="1:22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V151" s="2"/>
    </row>
    <row r="152" spans="1:22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V152" s="2"/>
    </row>
    <row r="153" spans="1:22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V153" s="2"/>
    </row>
    <row r="154" spans="1:22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V154" s="2"/>
    </row>
    <row r="155" spans="1:22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V155" s="2"/>
    </row>
    <row r="156" spans="1:22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V156" s="2"/>
    </row>
    <row r="157" spans="1:22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V157" s="2"/>
    </row>
    <row r="158" spans="1:22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V158" s="2"/>
    </row>
    <row r="159" spans="1:22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V159" s="2"/>
    </row>
    <row r="160" spans="1:22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V160" s="2"/>
    </row>
    <row r="161" spans="1:22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V161" s="2"/>
    </row>
    <row r="162" spans="1:22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V162" s="2"/>
    </row>
    <row r="163" spans="1:22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V163" s="2"/>
    </row>
    <row r="164" spans="1:22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V164" s="2"/>
    </row>
    <row r="165" spans="1:22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V165" s="2"/>
    </row>
    <row r="166" spans="1:22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V166" s="2"/>
    </row>
    <row r="167" spans="1:22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V167" s="2"/>
    </row>
    <row r="168" spans="1:22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V168" s="2"/>
    </row>
    <row r="169" spans="1:22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V169" s="2"/>
    </row>
    <row r="170" spans="1:22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V170" s="2"/>
    </row>
    <row r="171" spans="1:22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V171" s="2"/>
    </row>
    <row r="172" spans="1:22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V172" s="2"/>
    </row>
    <row r="173" spans="1:22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V173" s="2"/>
    </row>
    <row r="174" spans="1:22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V174" s="2"/>
    </row>
    <row r="175" spans="1:22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V175" s="2"/>
    </row>
    <row r="176" spans="1:22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V176" s="2"/>
    </row>
    <row r="177" spans="1:22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V177" s="2"/>
    </row>
    <row r="178" spans="1:22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V178" s="2"/>
    </row>
    <row r="179" spans="1:22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V179" s="2"/>
    </row>
    <row r="180" spans="1:22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V180" s="2"/>
    </row>
    <row r="181" spans="1:22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V181" s="2"/>
    </row>
    <row r="182" spans="1:22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V182" s="2"/>
    </row>
    <row r="183" spans="1:22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V183" s="2"/>
    </row>
    <row r="184" spans="1:22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V184" s="2"/>
    </row>
    <row r="185" spans="1:22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V185" s="2"/>
    </row>
    <row r="186" spans="1:22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V186" s="2"/>
    </row>
    <row r="187" spans="1:22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V187" s="2"/>
    </row>
    <row r="188" spans="1:22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V188" s="2"/>
    </row>
    <row r="189" spans="1:22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V189" s="2"/>
    </row>
    <row r="190" spans="1:22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V190" s="2"/>
    </row>
    <row r="191" spans="1:22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V191" s="2"/>
    </row>
    <row r="192" spans="1:22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V192" s="2"/>
    </row>
    <row r="193" spans="1:22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V193" s="2"/>
    </row>
    <row r="194" spans="1:22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V194" s="2"/>
    </row>
    <row r="195" spans="1:22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V195" s="2"/>
    </row>
    <row r="196" spans="1:22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V196" s="2"/>
    </row>
    <row r="197" spans="1:22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V197" s="2"/>
    </row>
    <row r="198" spans="1:22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V198" s="2"/>
    </row>
    <row r="199" spans="1:22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V199" s="2"/>
    </row>
    <row r="200" spans="1:22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V200" s="2"/>
    </row>
    <row r="201" spans="1:22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V201" s="2"/>
    </row>
    <row r="202" spans="1:22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V202" s="2"/>
    </row>
    <row r="203" spans="1:22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V203" s="2"/>
    </row>
    <row r="204" spans="1:22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V204" s="2"/>
    </row>
    <row r="205" spans="1:22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V205" s="2"/>
    </row>
    <row r="206" spans="1:22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V206" s="2"/>
    </row>
    <row r="207" spans="1:22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V207" s="2"/>
    </row>
    <row r="208" spans="1:22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V208" s="2"/>
    </row>
    <row r="209" spans="1:22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V209" s="2"/>
    </row>
    <row r="210" spans="1:22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V210" s="2"/>
    </row>
    <row r="211" spans="1:22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V211" s="2"/>
    </row>
    <row r="212" spans="1:22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V212" s="2"/>
    </row>
    <row r="213" spans="1:22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V213" s="2"/>
    </row>
    <row r="214" spans="1:22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V214" s="2"/>
    </row>
    <row r="215" spans="1:22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V215" s="2"/>
    </row>
    <row r="216" spans="1:22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V216" s="2"/>
    </row>
    <row r="217" spans="1:22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V217" s="2"/>
    </row>
    <row r="218" spans="1:22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V218" s="2"/>
    </row>
    <row r="219" spans="1:22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V219" s="2"/>
    </row>
    <row r="220" spans="1:22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V220" s="2"/>
    </row>
    <row r="221" spans="1:22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V221" s="2"/>
    </row>
    <row r="222" spans="1:22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V222" s="2"/>
    </row>
    <row r="223" spans="1:22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V223" s="2"/>
    </row>
    <row r="224" spans="1:22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V224" s="2"/>
    </row>
    <row r="225" spans="1:22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V225" s="2"/>
    </row>
    <row r="226" spans="1:22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V226" s="2"/>
    </row>
    <row r="227" spans="1:22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V227" s="2"/>
    </row>
    <row r="228" spans="1:22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V228" s="2"/>
    </row>
    <row r="229" spans="1:22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V229" s="2"/>
    </row>
    <row r="230" spans="1:22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V230" s="2"/>
    </row>
    <row r="231" spans="1:22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V231" s="2"/>
    </row>
    <row r="232" spans="1:22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V232" s="2"/>
    </row>
    <row r="233" spans="1:22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V233" s="2"/>
    </row>
    <row r="234" spans="1:22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V234" s="2"/>
    </row>
    <row r="235" spans="1:22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V235" s="2"/>
    </row>
    <row r="236" spans="1:22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V236" s="2"/>
    </row>
    <row r="237" spans="1:22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V237" s="2"/>
    </row>
    <row r="238" spans="1:22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V238" s="2"/>
    </row>
    <row r="239" spans="1:22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V239" s="2"/>
    </row>
    <row r="240" spans="1:22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V240" s="2"/>
    </row>
    <row r="241" spans="1:22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V241" s="2"/>
    </row>
    <row r="242" spans="1:22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V242" s="2"/>
    </row>
    <row r="243" spans="1:22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V243" s="2"/>
    </row>
    <row r="244" spans="1:22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V244" s="2"/>
    </row>
    <row r="245" spans="1:22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V245" s="2"/>
    </row>
    <row r="246" spans="1:22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V246" s="2"/>
    </row>
    <row r="247" spans="1:22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V247" s="2"/>
    </row>
    <row r="248" spans="1:22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V248" s="2"/>
    </row>
    <row r="249" spans="1:22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V249" s="2"/>
    </row>
    <row r="250" spans="1:22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V250" s="2"/>
    </row>
    <row r="251" spans="1:22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V251" s="2"/>
    </row>
    <row r="252" spans="1:22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V252" s="2"/>
    </row>
    <row r="253" spans="1:22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V253" s="2"/>
    </row>
    <row r="254" spans="1:22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V254" s="2"/>
    </row>
    <row r="255" spans="1:22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V255" s="2"/>
    </row>
    <row r="256" spans="1:22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V256" s="2"/>
    </row>
    <row r="257" spans="1:22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V257" s="2"/>
    </row>
    <row r="258" spans="1:22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V258" s="2"/>
    </row>
    <row r="259" spans="1:22" ht="15.75" customHeight="1" x14ac:dyDescent="0.15"/>
    <row r="260" spans="1:22" ht="15.75" customHeight="1" x14ac:dyDescent="0.15"/>
    <row r="261" spans="1:22" ht="15.75" customHeight="1" x14ac:dyDescent="0.15"/>
    <row r="262" spans="1:22" ht="15.75" customHeight="1" x14ac:dyDescent="0.15"/>
    <row r="263" spans="1:22" ht="15.75" customHeight="1" x14ac:dyDescent="0.15"/>
    <row r="264" spans="1:22" ht="15.75" customHeight="1" x14ac:dyDescent="0.15"/>
    <row r="265" spans="1:22" ht="15.75" customHeight="1" x14ac:dyDescent="0.15"/>
    <row r="266" spans="1:22" ht="15.75" customHeight="1" x14ac:dyDescent="0.15"/>
    <row r="267" spans="1:22" ht="15.75" customHeight="1" x14ac:dyDescent="0.15"/>
    <row r="268" spans="1:22" ht="15.75" customHeight="1" x14ac:dyDescent="0.15"/>
    <row r="269" spans="1:22" ht="15.75" customHeight="1" x14ac:dyDescent="0.15"/>
    <row r="270" spans="1:22" ht="15.75" customHeight="1" x14ac:dyDescent="0.15"/>
    <row r="271" spans="1:22" ht="15.75" customHeight="1" x14ac:dyDescent="0.15"/>
    <row r="272" spans="1:2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dataValidations count="2">
    <dataValidation type="list" allowBlank="1" showErrorMessage="1" sqref="S13:S14" xr:uid="{00000000-0002-0000-0000-000001000000}">
      <formula1>"Single Node,Converged,ScaleOut,ScaleOutNonRDMA"</formula1>
    </dataValidation>
    <dataValidation type="list" allowBlank="1" showErrorMessage="1" sqref="C11" xr:uid="{00000000-0002-0000-0000-000000000000}">
      <formula1>$F$11:$R$11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1000"/>
  <sheetViews>
    <sheetView showGridLines="0" workbookViewId="0"/>
  </sheetViews>
  <sheetFormatPr baseColWidth="10" defaultColWidth="14.5" defaultRowHeight="15" customHeight="1" x14ac:dyDescent="0.15"/>
  <cols>
    <col min="1" max="1" width="0.5" customWidth="1"/>
    <col min="2" max="2" width="2.5" customWidth="1"/>
    <col min="3" max="3" width="14.5" customWidth="1"/>
    <col min="4" max="4" width="11.5" customWidth="1"/>
    <col min="5" max="5" width="58.1640625" customWidth="1"/>
    <col min="6" max="6" width="20.6640625" customWidth="1"/>
    <col min="7" max="7" width="20.33203125" customWidth="1"/>
    <col min="8" max="8" width="2.5" customWidth="1"/>
    <col min="9" max="10" width="23" customWidth="1"/>
  </cols>
  <sheetData>
    <row r="1" spans="1:10" ht="9" customHeight="1" x14ac:dyDescent="0.2">
      <c r="A1" s="1"/>
      <c r="B1" s="2"/>
      <c r="C1" s="3"/>
      <c r="D1" s="5"/>
      <c r="E1" s="6"/>
      <c r="F1" s="7"/>
      <c r="G1" s="7"/>
      <c r="H1" s="8"/>
      <c r="I1" s="9"/>
      <c r="J1" s="10"/>
    </row>
    <row r="2" spans="1:10" ht="15.75" customHeight="1" x14ac:dyDescent="0.2">
      <c r="A2" s="1"/>
      <c r="B2" s="2"/>
      <c r="C2" s="12" t="s">
        <v>2</v>
      </c>
      <c r="D2" s="5"/>
      <c r="E2" s="6"/>
      <c r="F2" s="7"/>
      <c r="G2" s="7"/>
      <c r="H2" s="8"/>
      <c r="I2" s="9"/>
      <c r="J2" s="10"/>
    </row>
    <row r="3" spans="1:10" ht="15.75" customHeight="1" x14ac:dyDescent="0.15">
      <c r="A3" s="11"/>
      <c r="B3" s="2"/>
      <c r="C3" s="2"/>
      <c r="D3" s="5"/>
      <c r="E3" s="14" t="s">
        <v>3</v>
      </c>
      <c r="F3" s="16">
        <v>1</v>
      </c>
      <c r="G3" s="7"/>
      <c r="H3" s="8"/>
      <c r="I3" s="9"/>
      <c r="J3" s="10"/>
    </row>
    <row r="4" spans="1:10" ht="12" customHeight="1" x14ac:dyDescent="0.15">
      <c r="A4" s="11"/>
      <c r="B4" s="2"/>
      <c r="C4" s="2"/>
      <c r="D4" s="5"/>
      <c r="E4" s="6"/>
      <c r="F4" s="18"/>
      <c r="G4" s="18"/>
      <c r="H4" s="20"/>
      <c r="I4" s="9"/>
      <c r="J4" s="10"/>
    </row>
    <row r="5" spans="1:10" ht="9" customHeight="1" x14ac:dyDescent="0.15">
      <c r="A5" s="11"/>
      <c r="B5" s="2"/>
      <c r="C5" s="11"/>
      <c r="D5" s="5"/>
      <c r="E5" s="6"/>
      <c r="F5" s="18"/>
      <c r="G5" s="18"/>
      <c r="H5" s="20"/>
      <c r="I5" s="22"/>
      <c r="J5" s="20"/>
    </row>
    <row r="6" spans="1:10" ht="15.75" customHeight="1" x14ac:dyDescent="0.15">
      <c r="A6" s="11"/>
      <c r="B6" s="2"/>
      <c r="C6" s="11" t="s">
        <v>5</v>
      </c>
      <c r="D6" s="5"/>
      <c r="E6" s="6" t="s">
        <v>6</v>
      </c>
      <c r="F6" s="24">
        <v>0.03</v>
      </c>
      <c r="G6" s="18" t="s">
        <v>10</v>
      </c>
      <c r="H6" s="20"/>
      <c r="I6" s="26" t="s">
        <v>11</v>
      </c>
      <c r="J6" s="28"/>
    </row>
    <row r="7" spans="1:10" ht="15.75" customHeight="1" x14ac:dyDescent="0.15">
      <c r="A7" s="11"/>
      <c r="B7" s="2"/>
      <c r="C7" s="11"/>
      <c r="D7" s="5"/>
      <c r="E7" s="6" t="s">
        <v>15</v>
      </c>
      <c r="F7" s="24">
        <v>0</v>
      </c>
      <c r="G7" s="18" t="s">
        <v>10</v>
      </c>
      <c r="H7" s="20" t="s">
        <v>16</v>
      </c>
      <c r="I7" s="26" t="s">
        <v>11</v>
      </c>
      <c r="J7" s="28"/>
    </row>
    <row r="8" spans="1:10" ht="15.75" customHeight="1" x14ac:dyDescent="0.15">
      <c r="A8" s="11"/>
      <c r="B8" s="2"/>
      <c r="C8" s="11"/>
      <c r="D8" s="5"/>
      <c r="E8" s="6"/>
      <c r="F8" s="18"/>
      <c r="G8" s="18"/>
      <c r="H8" s="20"/>
      <c r="I8" s="26"/>
      <c r="J8" s="28"/>
    </row>
    <row r="9" spans="1:10" ht="15.75" customHeight="1" x14ac:dyDescent="0.15">
      <c r="A9" s="11"/>
      <c r="B9" s="2"/>
      <c r="C9" s="11" t="s">
        <v>17</v>
      </c>
      <c r="D9" s="5"/>
      <c r="E9" s="6"/>
      <c r="F9" s="18" t="s">
        <v>18</v>
      </c>
      <c r="G9" s="18" t="s">
        <v>19</v>
      </c>
      <c r="H9" s="20"/>
      <c r="I9" s="26" t="s">
        <v>20</v>
      </c>
      <c r="J9" s="28" t="s">
        <v>21</v>
      </c>
    </row>
    <row r="10" spans="1:10" ht="15.75" customHeight="1" x14ac:dyDescent="0.15">
      <c r="A10" s="11"/>
      <c r="B10" s="2"/>
      <c r="C10" s="2"/>
      <c r="D10" s="5"/>
      <c r="E10" s="14" t="s">
        <v>22</v>
      </c>
      <c r="F10" s="31">
        <f>NORM_GIG_COST_COMPUTE*F3*1.2</f>
        <v>160846.56000000003</v>
      </c>
      <c r="G10" s="31">
        <f t="shared" ref="G10:G14" si="0">F10*($F$6+$F$7)/12</f>
        <v>402.11640000000006</v>
      </c>
      <c r="H10" s="50"/>
      <c r="I10" s="54">
        <f t="shared" ref="I10:I16" si="1">-PMT(5%/12,48,F10)+G10</f>
        <v>4106.2990500686101</v>
      </c>
      <c r="J10" s="50">
        <f t="shared" ref="J10:J12" si="2">I10+$I$13*I10/SUM($I$10:$I$12)</f>
        <v>4485.0299201084081</v>
      </c>
    </row>
    <row r="11" spans="1:10" ht="15.75" customHeight="1" x14ac:dyDescent="0.15">
      <c r="A11" s="11"/>
      <c r="B11" s="2"/>
      <c r="C11" s="2"/>
      <c r="D11" s="5"/>
      <c r="E11" s="14" t="s">
        <v>61</v>
      </c>
      <c r="F11" s="31">
        <f>NORM_GIG_COST_SAN*F3</f>
        <v>39526.199999999983</v>
      </c>
      <c r="G11" s="31">
        <f t="shared" si="0"/>
        <v>98.815499999999943</v>
      </c>
      <c r="H11" s="50"/>
      <c r="I11" s="54">
        <f t="shared" si="1"/>
        <v>1009.0759635320879</v>
      </c>
      <c r="J11" s="50">
        <f t="shared" si="2"/>
        <v>1102.1447373707517</v>
      </c>
    </row>
    <row r="12" spans="1:10" ht="15.75" customHeight="1" x14ac:dyDescent="0.15">
      <c r="A12" s="11"/>
      <c r="B12" s="2"/>
      <c r="C12" s="2"/>
      <c r="D12" s="5"/>
      <c r="E12" s="14" t="s">
        <v>64</v>
      </c>
      <c r="F12" s="31">
        <f>CALCULATION!J49-F10-F13-F14-F11</f>
        <v>84395.98</v>
      </c>
      <c r="G12" s="31">
        <f t="shared" si="0"/>
        <v>210.98994999999999</v>
      </c>
      <c r="H12" s="50"/>
      <c r="I12" s="54">
        <f t="shared" si="1"/>
        <v>2154.5697496024122</v>
      </c>
      <c r="J12" s="50">
        <f t="shared" si="2"/>
        <v>2353.2893425689103</v>
      </c>
    </row>
    <row r="13" spans="1:10" ht="15.75" customHeight="1" x14ac:dyDescent="0.15">
      <c r="A13" s="11"/>
      <c r="B13" s="2"/>
      <c r="C13" s="2"/>
      <c r="D13" s="5"/>
      <c r="E13" s="14" t="s">
        <v>69</v>
      </c>
      <c r="F13" s="31">
        <f>NORM_GIG_COST_NETWORK*F3</f>
        <v>26264.7</v>
      </c>
      <c r="G13" s="31">
        <f t="shared" si="0"/>
        <v>65.661749999999998</v>
      </c>
      <c r="H13" s="8"/>
      <c r="I13" s="54">
        <f t="shared" si="1"/>
        <v>670.51923684495966</v>
      </c>
      <c r="J13" s="50"/>
    </row>
    <row r="14" spans="1:10" ht="15.75" customHeight="1" x14ac:dyDescent="0.15">
      <c r="A14" s="11"/>
      <c r="B14" s="2"/>
      <c r="C14" s="2"/>
      <c r="D14" s="5"/>
      <c r="E14" s="14" t="s">
        <v>71</v>
      </c>
      <c r="F14" s="31">
        <f>NORM_GIG_COST_OVERHEAD*F3</f>
        <v>8033.76</v>
      </c>
      <c r="G14" s="31">
        <f t="shared" si="0"/>
        <v>20.084399999999999</v>
      </c>
      <c r="H14" s="2"/>
      <c r="I14" s="54">
        <f t="shared" si="1"/>
        <v>205.09621751611715</v>
      </c>
      <c r="J14" s="50"/>
    </row>
    <row r="15" spans="1:10" ht="15.75" customHeight="1" x14ac:dyDescent="0.15">
      <c r="A15" s="2"/>
      <c r="B15" s="2"/>
      <c r="C15" s="11"/>
      <c r="D15" s="4"/>
      <c r="E15" s="14" t="s">
        <v>74</v>
      </c>
      <c r="F15" s="31"/>
      <c r="G15" s="31">
        <f>'CloudUnits Capacity'!F42*RACKCOST</f>
        <v>2306.8181818181815</v>
      </c>
      <c r="H15" s="8"/>
      <c r="I15" s="54">
        <f t="shared" si="1"/>
        <v>2306.8181818181815</v>
      </c>
      <c r="J15" s="50"/>
    </row>
    <row r="16" spans="1:10" ht="15.75" customHeight="1" x14ac:dyDescent="0.15">
      <c r="A16" s="2"/>
      <c r="B16" s="2"/>
      <c r="C16" s="11"/>
      <c r="D16" s="4"/>
      <c r="E16" s="14" t="s">
        <v>76</v>
      </c>
      <c r="F16" s="31"/>
      <c r="G16" s="31">
        <f>'CloudUnits Capacity'!F43/1000*24*30*POWERCOST</f>
        <v>0</v>
      </c>
      <c r="H16" s="8"/>
      <c r="I16" s="54">
        <f t="shared" si="1"/>
        <v>0</v>
      </c>
      <c r="J16" s="50"/>
    </row>
    <row r="17" spans="1:10" ht="8.25" customHeight="1" x14ac:dyDescent="0.15">
      <c r="A17" s="11"/>
      <c r="B17" s="2"/>
      <c r="C17" s="2"/>
      <c r="D17" s="5"/>
      <c r="E17" s="6"/>
      <c r="F17" s="31"/>
      <c r="G17" s="31"/>
      <c r="H17" s="8"/>
      <c r="I17" s="9"/>
      <c r="J17" s="10"/>
    </row>
    <row r="18" spans="1:10" ht="15.75" customHeight="1" x14ac:dyDescent="0.15">
      <c r="A18" s="2"/>
      <c r="B18" s="2"/>
      <c r="C18" s="11"/>
      <c r="D18" s="4"/>
      <c r="E18" s="11" t="s">
        <v>80</v>
      </c>
      <c r="F18" s="64">
        <f>SUM(F10:F14)</f>
        <v>319067.2</v>
      </c>
      <c r="G18" s="64">
        <f>SUM(G10:G17)</f>
        <v>3104.4861818181816</v>
      </c>
      <c r="H18" s="65"/>
      <c r="I18" s="66"/>
      <c r="J18" s="67"/>
    </row>
    <row r="19" spans="1:10" ht="7.5" customHeight="1" x14ac:dyDescent="0.15">
      <c r="A19" s="2"/>
      <c r="B19" s="2"/>
      <c r="C19" s="11"/>
      <c r="D19" s="4"/>
      <c r="E19" s="11"/>
      <c r="F19" s="69"/>
      <c r="G19" s="69"/>
      <c r="H19" s="8"/>
      <c r="I19" s="66"/>
      <c r="J19" s="4"/>
    </row>
    <row r="20" spans="1:10" ht="15.75" customHeight="1" x14ac:dyDescent="0.15">
      <c r="A20" s="2"/>
      <c r="B20" s="2"/>
      <c r="C20" s="11"/>
      <c r="D20" s="4"/>
      <c r="E20" s="11" t="s">
        <v>86</v>
      </c>
      <c r="F20" s="69">
        <f t="shared" ref="F20:G20" si="3">F18/1.1</f>
        <v>290061.09090909088</v>
      </c>
      <c r="G20" s="69">
        <f t="shared" si="3"/>
        <v>2822.2601652892558</v>
      </c>
      <c r="H20" s="8"/>
      <c r="I20" s="66"/>
      <c r="J20" s="4"/>
    </row>
    <row r="21" spans="1:10" ht="6.75" customHeight="1" x14ac:dyDescent="0.15">
      <c r="A21" s="2"/>
      <c r="B21" s="2"/>
      <c r="C21" s="11"/>
      <c r="D21" s="4"/>
      <c r="E21" s="70"/>
      <c r="F21" s="33"/>
      <c r="G21" s="33"/>
      <c r="H21" s="8"/>
      <c r="I21" s="66"/>
      <c r="J21" s="4"/>
    </row>
    <row r="22" spans="1:10" ht="1.5" customHeight="1" x14ac:dyDescent="0.15">
      <c r="A22" s="2"/>
      <c r="B22" s="2"/>
      <c r="C22" s="11"/>
      <c r="D22" s="4"/>
      <c r="E22" s="2"/>
      <c r="F22" s="33"/>
      <c r="G22" s="33"/>
      <c r="H22" s="8"/>
      <c r="I22" s="9"/>
      <c r="J22" s="10"/>
    </row>
    <row r="23" spans="1:10" ht="15.75" customHeight="1" x14ac:dyDescent="0.15">
      <c r="A23" s="2"/>
      <c r="B23" s="2"/>
      <c r="C23" s="11"/>
      <c r="D23" s="4"/>
      <c r="E23" s="72" t="s">
        <v>90</v>
      </c>
      <c r="F23" s="65">
        <f>SUM(I13:I16)/SUM(I10:I16)</f>
        <v>0.30446980721318972</v>
      </c>
      <c r="G23" s="33"/>
      <c r="H23" s="8"/>
      <c r="I23" s="9"/>
      <c r="J23" s="10"/>
    </row>
    <row r="24" spans="1:10" ht="9" customHeight="1" x14ac:dyDescent="0.15">
      <c r="A24" s="2"/>
      <c r="B24" s="2"/>
      <c r="C24" s="11"/>
      <c r="D24" s="4"/>
      <c r="E24" s="2"/>
      <c r="F24" s="33"/>
      <c r="G24" s="33"/>
      <c r="H24" s="8"/>
      <c r="I24" s="9"/>
      <c r="J24" s="10"/>
    </row>
    <row r="25" spans="1:10" ht="9" customHeight="1" x14ac:dyDescent="0.15">
      <c r="A25" s="2"/>
      <c r="B25" s="2"/>
      <c r="C25" s="11"/>
      <c r="D25" s="4"/>
      <c r="E25" s="2"/>
      <c r="F25" s="72" t="s">
        <v>94</v>
      </c>
      <c r="G25" s="72" t="s">
        <v>95</v>
      </c>
      <c r="H25" s="8"/>
      <c r="I25" s="74" t="s">
        <v>96</v>
      </c>
      <c r="J25" s="75" t="s">
        <v>97</v>
      </c>
    </row>
    <row r="26" spans="1:10" ht="15.75" customHeight="1" x14ac:dyDescent="0.15">
      <c r="A26" s="2"/>
      <c r="B26" s="2"/>
      <c r="C26" s="11"/>
      <c r="D26" s="33">
        <f>'CloudUnits Capacity'!F6</f>
        <v>1866.24</v>
      </c>
      <c r="E26" s="14" t="s">
        <v>99</v>
      </c>
      <c r="F26" s="31">
        <f t="shared" ref="F26:F28" si="4">I10/(1-F$23)</f>
        <v>5903.8401102556427</v>
      </c>
      <c r="G26" s="31">
        <f t="shared" ref="G26:G28" si="5">F$18/SUM(F$26:F$28)*F26/D26</f>
        <v>96.568198812833188</v>
      </c>
      <c r="H26" s="8"/>
      <c r="I26" s="77">
        <f>F36</f>
        <v>3.1634945721105767</v>
      </c>
      <c r="J26" s="77">
        <f>F36-G36+5%*G26/48</f>
        <v>0.86084253292147961</v>
      </c>
    </row>
    <row r="27" spans="1:10" ht="9" customHeight="1" x14ac:dyDescent="0.15">
      <c r="A27" s="2"/>
      <c r="B27" s="2"/>
      <c r="C27" s="11"/>
      <c r="D27" s="33">
        <f>'CloudUnits Capacity'!F25</f>
        <v>8000</v>
      </c>
      <c r="E27" s="14" t="s">
        <v>104</v>
      </c>
      <c r="F27" s="31">
        <f t="shared" si="4"/>
        <v>1450.8010924572241</v>
      </c>
      <c r="G27" s="31">
        <f t="shared" si="5"/>
        <v>5.5358577808786151</v>
      </c>
      <c r="H27" s="8"/>
      <c r="I27" s="77">
        <f>F38</f>
        <v>0.18135013655715301</v>
      </c>
      <c r="J27" s="77">
        <f>F38-G38+5%*G27/48</f>
        <v>4.9348562907557597E-2</v>
      </c>
    </row>
    <row r="28" spans="1:10" ht="15.75" customHeight="1" x14ac:dyDescent="0.15">
      <c r="A28" s="2"/>
      <c r="B28" s="2"/>
      <c r="C28" s="11"/>
      <c r="D28" s="33">
        <f>'CloudUnits Capacity'!F18</f>
        <v>1152</v>
      </c>
      <c r="E28" s="14" t="s">
        <v>112</v>
      </c>
      <c r="F28" s="31">
        <f t="shared" si="4"/>
        <v>3097.7371966695023</v>
      </c>
      <c r="G28" s="31">
        <f t="shared" si="5"/>
        <v>82.084116667108731</v>
      </c>
      <c r="H28" s="8"/>
      <c r="I28" s="77">
        <f>F37</f>
        <v>2.689007983220054</v>
      </c>
      <c r="J28" s="77">
        <f>F37-G37+5%*G28/48</f>
        <v>0.73172638376833532</v>
      </c>
    </row>
    <row r="29" spans="1:10" ht="7.5" customHeight="1" x14ac:dyDescent="0.15">
      <c r="A29" s="2"/>
      <c r="B29" s="2"/>
      <c r="C29" s="11"/>
      <c r="D29" s="4"/>
      <c r="E29" s="2"/>
      <c r="F29" s="33"/>
      <c r="G29" s="33"/>
      <c r="H29" s="8"/>
      <c r="I29" s="9"/>
      <c r="J29" s="10"/>
    </row>
    <row r="30" spans="1:10" ht="15.75" customHeight="1" x14ac:dyDescent="0.15">
      <c r="A30" s="2"/>
      <c r="B30" s="2"/>
      <c r="C30" s="11"/>
      <c r="D30" s="4"/>
      <c r="E30" s="11" t="s">
        <v>113</v>
      </c>
      <c r="F30" s="64">
        <f>SUM(I10:I14)</f>
        <v>8145.560217564188</v>
      </c>
      <c r="G30" s="2"/>
      <c r="H30" s="33"/>
      <c r="J30" s="10"/>
    </row>
    <row r="31" spans="1:10" ht="15.75" customHeight="1" x14ac:dyDescent="0.15">
      <c r="A31" s="2"/>
      <c r="B31" s="2"/>
      <c r="C31" s="11"/>
      <c r="D31" s="4"/>
      <c r="E31" s="11" t="s">
        <v>115</v>
      </c>
      <c r="F31" s="64">
        <f>SUM(F26:F28)</f>
        <v>10452.378399382369</v>
      </c>
      <c r="G31" s="2"/>
      <c r="H31" s="33"/>
      <c r="J31" s="10"/>
    </row>
    <row r="32" spans="1:10" ht="15.75" customHeight="1" x14ac:dyDescent="0.15">
      <c r="A32" s="2"/>
      <c r="B32" s="2"/>
      <c r="C32" s="78" t="s">
        <v>116</v>
      </c>
      <c r="D32" s="4"/>
      <c r="E32" s="2"/>
      <c r="F32" s="33"/>
      <c r="G32" s="33"/>
      <c r="H32" s="8"/>
      <c r="I32" s="9"/>
      <c r="J32" s="10"/>
    </row>
    <row r="33" spans="1:13" ht="15.75" customHeight="1" x14ac:dyDescent="0.15">
      <c r="A33" s="2"/>
      <c r="B33" s="2"/>
      <c r="C33" s="11"/>
      <c r="D33" s="4"/>
      <c r="E33" s="2"/>
      <c r="F33" s="33"/>
      <c r="G33" s="33"/>
      <c r="H33" s="8"/>
      <c r="I33" s="9"/>
      <c r="J33" s="10"/>
    </row>
    <row r="34" spans="1:13" ht="15.75" customHeight="1" x14ac:dyDescent="0.15">
      <c r="A34" s="2"/>
      <c r="B34" s="2"/>
      <c r="C34" s="11"/>
      <c r="D34" s="4"/>
      <c r="E34" s="2"/>
      <c r="F34" s="33"/>
      <c r="G34" s="33"/>
      <c r="H34" s="8"/>
      <c r="I34" s="9"/>
      <c r="J34" s="10"/>
    </row>
    <row r="35" spans="1:13" ht="15.75" customHeight="1" x14ac:dyDescent="0.15">
      <c r="A35" s="11"/>
      <c r="B35" s="2"/>
      <c r="C35" s="79" t="s">
        <v>118</v>
      </c>
      <c r="D35" s="80"/>
      <c r="E35" s="81"/>
      <c r="F35" s="82" t="s">
        <v>120</v>
      </c>
      <c r="G35" s="82" t="s">
        <v>121</v>
      </c>
      <c r="H35" s="83"/>
      <c r="I35" s="22"/>
      <c r="J35" s="20"/>
    </row>
    <row r="36" spans="1:13" ht="15.75" customHeight="1" x14ac:dyDescent="0.15">
      <c r="A36" s="2"/>
      <c r="B36" s="2"/>
      <c r="C36" s="2"/>
      <c r="D36" s="4" t="s">
        <v>123</v>
      </c>
      <c r="E36" s="14" t="s">
        <v>124</v>
      </c>
      <c r="F36" s="84">
        <f>F26/'CloudUnits Capacity'!F6</f>
        <v>3.1634945721105767</v>
      </c>
      <c r="G36" s="85">
        <f>J10/'CloudUnits Capacity'!F6</f>
        <v>2.403243912952465</v>
      </c>
      <c r="H36" s="8"/>
      <c r="I36" s="9" t="s">
        <v>127</v>
      </c>
      <c r="J36" s="10">
        <v>20</v>
      </c>
      <c r="K36" s="86">
        <f>'CloudUnits Capacity'!F6</f>
        <v>1866.24</v>
      </c>
      <c r="M36">
        <f t="shared" ref="M36:M38" si="6">K36*(J36-F36)</f>
        <v>31420.959889744357</v>
      </c>
    </row>
    <row r="37" spans="1:13" ht="15.75" customHeight="1" x14ac:dyDescent="0.15">
      <c r="A37" s="2"/>
      <c r="B37" s="2"/>
      <c r="C37" s="2"/>
      <c r="D37" s="4" t="s">
        <v>129</v>
      </c>
      <c r="E37" s="14" t="s">
        <v>130</v>
      </c>
      <c r="F37" s="85">
        <f>IF('CloudUnits Capacity'!F18&gt;0,F28/'CloudUnits Capacity'!F18,0)</f>
        <v>2.689007983220054</v>
      </c>
      <c r="G37" s="85">
        <f>J12/'CloudUnits Capacity'!F18</f>
        <v>2.0427858876466236</v>
      </c>
      <c r="H37" s="8"/>
      <c r="I37" s="9" t="s">
        <v>136</v>
      </c>
      <c r="J37" s="10">
        <v>11.5</v>
      </c>
      <c r="K37" s="86">
        <f>'CloudUnits Capacity'!F18</f>
        <v>1152</v>
      </c>
      <c r="M37">
        <f t="shared" si="6"/>
        <v>10150.262803330497</v>
      </c>
    </row>
    <row r="38" spans="1:13" ht="15.75" customHeight="1" x14ac:dyDescent="0.15">
      <c r="A38" s="2"/>
      <c r="B38" s="2"/>
      <c r="C38" s="2"/>
      <c r="D38" s="4" t="s">
        <v>137</v>
      </c>
      <c r="E38" s="14" t="s">
        <v>138</v>
      </c>
      <c r="F38" s="84">
        <f>F27/'CloudUnits Capacity'!F25</f>
        <v>0.18135013655715301</v>
      </c>
      <c r="G38" s="84">
        <f>J11/'CloudUnits Capacity'!F25</f>
        <v>0.13776809217134398</v>
      </c>
      <c r="H38" s="8"/>
      <c r="I38" s="9" t="s">
        <v>140</v>
      </c>
      <c r="J38" s="10">
        <v>1</v>
      </c>
      <c r="K38" s="86">
        <f>'CloudUnits Capacity'!F25</f>
        <v>8000</v>
      </c>
      <c r="M38">
        <f t="shared" si="6"/>
        <v>6549.1989075427755</v>
      </c>
    </row>
    <row r="39" spans="1:13" ht="15.75" customHeight="1" x14ac:dyDescent="0.15">
      <c r="A39" s="2"/>
      <c r="B39" s="2"/>
      <c r="C39" s="2"/>
      <c r="D39" s="4" t="s">
        <v>144</v>
      </c>
      <c r="E39" s="14" t="s">
        <v>145</v>
      </c>
      <c r="F39" s="85">
        <f>Params!C7</f>
        <v>0</v>
      </c>
      <c r="G39" s="85">
        <f>F39</f>
        <v>0</v>
      </c>
      <c r="H39" s="8"/>
      <c r="I39" s="9"/>
      <c r="J39" s="10"/>
      <c r="M39">
        <f>SUM(M36:M38)</f>
        <v>48120.421600617636</v>
      </c>
    </row>
    <row r="40" spans="1:13" ht="15.75" customHeight="1" x14ac:dyDescent="0.15">
      <c r="A40" s="2"/>
      <c r="B40" s="2"/>
      <c r="C40" s="2"/>
      <c r="D40" s="4"/>
      <c r="E40" s="2"/>
      <c r="F40" s="92"/>
      <c r="G40" s="33"/>
      <c r="H40" s="8"/>
      <c r="I40" s="9"/>
      <c r="J40" s="10"/>
      <c r="M40" s="95">
        <f>48*M39</f>
        <v>2309780.2368296464</v>
      </c>
    </row>
    <row r="41" spans="1:13" ht="7.5" customHeight="1" x14ac:dyDescent="0.15">
      <c r="A41" s="2"/>
      <c r="B41" s="2"/>
      <c r="C41" s="2"/>
      <c r="D41" s="96" t="s">
        <v>149</v>
      </c>
      <c r="E41" s="81"/>
      <c r="F41" s="82" t="s">
        <v>120</v>
      </c>
      <c r="G41" s="82" t="s">
        <v>121</v>
      </c>
      <c r="H41" s="8"/>
      <c r="I41" s="9"/>
      <c r="J41" s="10"/>
    </row>
    <row r="42" spans="1:13" ht="15.75" customHeight="1" x14ac:dyDescent="0.15">
      <c r="A42" s="2"/>
      <c r="B42" s="2"/>
      <c r="C42" s="2"/>
      <c r="D42" s="4" t="s">
        <v>123</v>
      </c>
      <c r="E42" s="14" t="s">
        <v>124</v>
      </c>
      <c r="F42" s="105">
        <f t="shared" ref="F42:G42" si="7">F36*0.85</f>
        <v>2.68897038629399</v>
      </c>
      <c r="G42" s="105">
        <f t="shared" si="7"/>
        <v>2.0427573260095953</v>
      </c>
      <c r="H42" s="8"/>
      <c r="I42" s="106"/>
      <c r="J42" s="10"/>
    </row>
    <row r="43" spans="1:13" ht="15.75" customHeight="1" x14ac:dyDescent="0.15">
      <c r="A43" s="2"/>
      <c r="B43" s="2"/>
      <c r="C43" s="2"/>
      <c r="D43" s="4" t="s">
        <v>129</v>
      </c>
      <c r="E43" s="14" t="s">
        <v>130</v>
      </c>
      <c r="F43" s="105">
        <f t="shared" ref="F43:G43" si="8">F37*0.85</f>
        <v>2.285656785737046</v>
      </c>
      <c r="G43" s="105">
        <f t="shared" si="8"/>
        <v>1.7363680044996299</v>
      </c>
      <c r="H43" s="2"/>
      <c r="I43" s="2"/>
      <c r="J43" s="2"/>
    </row>
    <row r="44" spans="1:13" ht="15.75" customHeight="1" x14ac:dyDescent="0.15">
      <c r="A44" s="2"/>
      <c r="B44" s="2"/>
      <c r="C44" s="2"/>
      <c r="D44" s="4" t="s">
        <v>137</v>
      </c>
      <c r="E44" s="14" t="s">
        <v>154</v>
      </c>
      <c r="F44" s="105">
        <f t="shared" ref="F44:G44" si="9">F38*0.85</f>
        <v>0.15414761607358005</v>
      </c>
      <c r="G44" s="105">
        <f t="shared" si="9"/>
        <v>0.11710287834564237</v>
      </c>
      <c r="H44" s="2"/>
      <c r="I44" s="2"/>
      <c r="J44" s="2"/>
    </row>
    <row r="45" spans="1:13" ht="15.75" customHeight="1" x14ac:dyDescent="0.15">
      <c r="A45" s="2"/>
      <c r="B45" s="2"/>
      <c r="C45" s="2"/>
      <c r="D45" s="4" t="s">
        <v>144</v>
      </c>
      <c r="E45" s="14" t="s">
        <v>145</v>
      </c>
      <c r="F45" s="105">
        <f t="shared" ref="F45:G45" si="10">F39*0.85</f>
        <v>0</v>
      </c>
      <c r="G45" s="105">
        <f t="shared" si="10"/>
        <v>0</v>
      </c>
      <c r="H45" s="2"/>
      <c r="I45" s="2"/>
      <c r="J45" s="2"/>
    </row>
    <row r="46" spans="1:13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3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3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5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5.75" customHeight="1" x14ac:dyDescent="0.15"/>
    <row r="247" spans="1:10" ht="15.75" customHeight="1" x14ac:dyDescent="0.15"/>
    <row r="248" spans="1:10" ht="15.75" customHeight="1" x14ac:dyDescent="0.15"/>
    <row r="249" spans="1:10" ht="15.75" customHeight="1" x14ac:dyDescent="0.15"/>
    <row r="250" spans="1:10" ht="15.75" customHeight="1" x14ac:dyDescent="0.15"/>
    <row r="251" spans="1:10" ht="15.75" customHeight="1" x14ac:dyDescent="0.15"/>
    <row r="252" spans="1:10" ht="15.75" customHeight="1" x14ac:dyDescent="0.15"/>
    <row r="253" spans="1:10" ht="15.75" customHeight="1" x14ac:dyDescent="0.15"/>
    <row r="254" spans="1:10" ht="15.75" customHeight="1" x14ac:dyDescent="0.15"/>
    <row r="255" spans="1:10" ht="15.75" customHeight="1" x14ac:dyDescent="0.15"/>
    <row r="256" spans="1:10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988"/>
  <sheetViews>
    <sheetView showGridLines="0" workbookViewId="0"/>
  </sheetViews>
  <sheetFormatPr baseColWidth="10" defaultColWidth="14.5" defaultRowHeight="15" customHeight="1" x14ac:dyDescent="0.15"/>
  <cols>
    <col min="1" max="1" width="2.6640625" customWidth="1"/>
    <col min="2" max="2" width="3.5" customWidth="1"/>
    <col min="3" max="3" width="53.5" customWidth="1"/>
    <col min="4" max="4" width="8.5" customWidth="1"/>
    <col min="5" max="5" width="1.5" customWidth="1"/>
    <col min="6" max="6" width="13.1640625" customWidth="1"/>
    <col min="7" max="12" width="14.5" customWidth="1"/>
  </cols>
  <sheetData>
    <row r="1" spans="1:12" ht="15.75" customHeight="1" x14ac:dyDescent="0.15">
      <c r="A1" s="2"/>
      <c r="B1" s="2"/>
      <c r="C1" s="2"/>
      <c r="D1" s="4"/>
      <c r="E1" s="2"/>
      <c r="F1" s="2"/>
    </row>
    <row r="2" spans="1:12" ht="15.75" customHeight="1" x14ac:dyDescent="0.15">
      <c r="A2" s="2"/>
      <c r="B2" s="11" t="s">
        <v>0</v>
      </c>
      <c r="C2" s="2"/>
      <c r="D2" s="4"/>
      <c r="E2" s="2"/>
      <c r="F2" s="2"/>
    </row>
    <row r="3" spans="1:12" ht="15.75" customHeight="1" x14ac:dyDescent="0.15">
      <c r="A3" s="2"/>
      <c r="B3" s="2"/>
      <c r="C3" s="2"/>
      <c r="D3" s="4"/>
      <c r="E3" s="2"/>
      <c r="F3" s="2"/>
    </row>
    <row r="4" spans="1:12" ht="15.75" customHeight="1" x14ac:dyDescent="0.15">
      <c r="A4" s="2"/>
      <c r="B4" s="2"/>
      <c r="C4" s="13" t="s">
        <v>1</v>
      </c>
      <c r="D4" s="15"/>
      <c r="E4" s="17"/>
      <c r="F4" s="17"/>
    </row>
    <row r="5" spans="1:12" ht="15.75" customHeight="1" x14ac:dyDescent="0.15">
      <c r="A5" s="2"/>
      <c r="B5" s="2"/>
      <c r="C5" s="19" t="s">
        <v>4</v>
      </c>
      <c r="D5" s="21">
        <v>4</v>
      </c>
      <c r="E5" s="23"/>
      <c r="F5" s="23" t="s">
        <v>7</v>
      </c>
    </row>
    <row r="6" spans="1:12" ht="15.75" customHeight="1" x14ac:dyDescent="0.15">
      <c r="A6" s="2"/>
      <c r="B6" s="2"/>
      <c r="C6" s="19" t="s">
        <v>8</v>
      </c>
      <c r="D6" s="21">
        <v>2</v>
      </c>
      <c r="E6" s="23"/>
      <c r="F6" s="23"/>
      <c r="G6" s="25" t="s">
        <v>9</v>
      </c>
    </row>
    <row r="7" spans="1:12" ht="15.75" customHeight="1" x14ac:dyDescent="0.15">
      <c r="A7" s="2"/>
      <c r="B7" s="2"/>
      <c r="C7" s="19" t="s">
        <v>12</v>
      </c>
      <c r="D7" s="21">
        <v>1600</v>
      </c>
      <c r="E7" s="27"/>
      <c r="F7" s="27" t="s">
        <v>13</v>
      </c>
      <c r="L7" s="14"/>
    </row>
    <row r="8" spans="1:12" ht="15.75" customHeight="1" x14ac:dyDescent="0.15">
      <c r="A8" s="2"/>
      <c r="B8" s="2"/>
      <c r="C8" s="19" t="s">
        <v>14</v>
      </c>
      <c r="D8" s="21">
        <f>2000*2</f>
        <v>4000</v>
      </c>
      <c r="E8" s="27"/>
      <c r="F8" s="27" t="s">
        <v>13</v>
      </c>
      <c r="L8" s="14"/>
    </row>
    <row r="9" spans="1:12" ht="15.75" customHeight="1" x14ac:dyDescent="0.15">
      <c r="A9" s="2"/>
      <c r="B9" s="2"/>
      <c r="C9" s="19" t="s">
        <v>23</v>
      </c>
      <c r="D9" s="21">
        <v>500</v>
      </c>
      <c r="E9" s="27"/>
      <c r="F9" s="27" t="s">
        <v>24</v>
      </c>
      <c r="L9" s="14"/>
    </row>
    <row r="10" spans="1:12" ht="15.75" customHeight="1" x14ac:dyDescent="0.15">
      <c r="A10" s="2"/>
      <c r="B10" s="2"/>
      <c r="C10" s="29" t="s">
        <v>25</v>
      </c>
      <c r="D10" s="30">
        <f>D9/D7*D8</f>
        <v>1250</v>
      </c>
      <c r="E10" s="32"/>
      <c r="F10" s="32" t="s">
        <v>24</v>
      </c>
      <c r="L10" s="14"/>
    </row>
    <row r="11" spans="1:12" ht="6.75" customHeight="1" x14ac:dyDescent="0.15">
      <c r="A11" s="2"/>
      <c r="B11" s="2"/>
      <c r="C11" s="4"/>
      <c r="D11" s="33"/>
      <c r="E11" s="10"/>
      <c r="F11" s="10"/>
    </row>
    <row r="12" spans="1:12" ht="15.75" customHeight="1" x14ac:dyDescent="0.15">
      <c r="A12" s="2"/>
      <c r="B12" s="2"/>
      <c r="C12" s="11"/>
      <c r="D12" s="33"/>
      <c r="E12" s="4"/>
      <c r="F12" s="4"/>
      <c r="L12" s="14"/>
    </row>
    <row r="13" spans="1:12" ht="15.75" customHeight="1" x14ac:dyDescent="0.15">
      <c r="A13" s="2"/>
      <c r="B13" s="2"/>
      <c r="C13" s="13" t="s">
        <v>26</v>
      </c>
      <c r="D13" s="15"/>
      <c r="E13" s="17"/>
      <c r="F13" s="17"/>
      <c r="L13" s="14"/>
    </row>
    <row r="14" spans="1:12" ht="15.75" customHeight="1" x14ac:dyDescent="0.15">
      <c r="A14" s="2"/>
      <c r="B14" s="2"/>
      <c r="C14" s="29" t="s">
        <v>27</v>
      </c>
      <c r="D14" s="30">
        <v>1</v>
      </c>
      <c r="E14" s="32"/>
      <c r="F14" s="32" t="s">
        <v>28</v>
      </c>
      <c r="G14" s="34" t="s">
        <v>29</v>
      </c>
      <c r="L14" s="14"/>
    </row>
    <row r="15" spans="1:12" ht="15.75" customHeight="1" x14ac:dyDescent="0.15">
      <c r="A15" s="36"/>
      <c r="B15" s="36"/>
      <c r="C15" s="37"/>
      <c r="D15" s="38"/>
      <c r="E15" s="40"/>
      <c r="F15" s="40"/>
      <c r="G15" s="36"/>
      <c r="H15" s="36"/>
      <c r="I15" s="36"/>
      <c r="J15" s="36"/>
      <c r="K15" s="36"/>
      <c r="L15" s="36"/>
    </row>
    <row r="16" spans="1:12" ht="15.75" customHeight="1" x14ac:dyDescent="0.15">
      <c r="A16" s="2"/>
      <c r="B16" s="2"/>
      <c r="C16" s="13" t="s">
        <v>33</v>
      </c>
      <c r="D16" s="15"/>
      <c r="E16" s="17"/>
      <c r="F16" s="17"/>
      <c r="I16" s="11"/>
      <c r="J16" s="14"/>
    </row>
    <row r="17" spans="1:12" ht="15.75" customHeight="1" x14ac:dyDescent="0.15">
      <c r="A17" s="2"/>
      <c r="B17" s="2"/>
      <c r="C17" s="19" t="s">
        <v>34</v>
      </c>
      <c r="D17" s="42">
        <v>100</v>
      </c>
      <c r="E17" s="27"/>
      <c r="F17" s="27" t="s">
        <v>36</v>
      </c>
      <c r="G17" s="25" t="s">
        <v>37</v>
      </c>
      <c r="I17" s="44"/>
      <c r="L17" s="14"/>
    </row>
    <row r="18" spans="1:12" ht="15.75" customHeight="1" x14ac:dyDescent="0.15">
      <c r="A18" s="2"/>
      <c r="B18" s="2"/>
      <c r="C18" s="29" t="s">
        <v>38</v>
      </c>
      <c r="D18" s="45">
        <v>400</v>
      </c>
      <c r="E18" s="32"/>
      <c r="F18" s="32" t="s">
        <v>36</v>
      </c>
      <c r="I18" s="44"/>
    </row>
    <row r="19" spans="1:12" ht="15.75" customHeight="1" x14ac:dyDescent="0.15">
      <c r="A19" s="2"/>
      <c r="B19" s="2"/>
      <c r="C19" s="11"/>
      <c r="D19" s="33"/>
      <c r="E19" s="4"/>
      <c r="F19" s="4"/>
      <c r="I19" s="44"/>
    </row>
    <row r="20" spans="1:12" ht="15.75" customHeight="1" x14ac:dyDescent="0.15">
      <c r="A20" s="2"/>
      <c r="B20" s="2"/>
      <c r="C20" s="13" t="s">
        <v>40</v>
      </c>
      <c r="D20" s="15"/>
      <c r="E20" s="17"/>
      <c r="F20" s="17"/>
    </row>
    <row r="21" spans="1:12" ht="15.75" customHeight="1" x14ac:dyDescent="0.15">
      <c r="A21" s="2"/>
      <c r="B21" s="2"/>
      <c r="C21" s="29" t="s">
        <v>41</v>
      </c>
      <c r="D21" s="30">
        <v>1</v>
      </c>
      <c r="E21" s="32"/>
      <c r="F21" s="32" t="s">
        <v>28</v>
      </c>
    </row>
    <row r="22" spans="1:12" ht="5.25" customHeight="1" x14ac:dyDescent="0.15">
      <c r="A22" s="2"/>
      <c r="B22" s="2"/>
      <c r="C22" s="11"/>
      <c r="D22" s="33"/>
      <c r="E22" s="4"/>
      <c r="F22" s="4"/>
    </row>
    <row r="23" spans="1:12" ht="15.75" customHeight="1" x14ac:dyDescent="0.15">
      <c r="A23" s="2"/>
      <c r="B23" s="2"/>
      <c r="C23" s="11"/>
      <c r="D23" s="33"/>
      <c r="E23" s="4"/>
      <c r="F23" s="4"/>
    </row>
    <row r="24" spans="1:12" ht="15.75" customHeight="1" x14ac:dyDescent="0.15">
      <c r="A24" s="2"/>
      <c r="B24" s="2"/>
      <c r="C24" s="11"/>
      <c r="D24" s="33"/>
      <c r="E24" s="4"/>
      <c r="F24" s="4"/>
    </row>
    <row r="25" spans="1:12" ht="15.75" customHeight="1" x14ac:dyDescent="0.15">
      <c r="A25" s="2"/>
      <c r="B25" s="2"/>
      <c r="C25" s="2"/>
      <c r="D25" s="4"/>
      <c r="E25" s="2"/>
      <c r="F25" s="2"/>
    </row>
    <row r="26" spans="1:12" ht="15.75" customHeight="1" x14ac:dyDescent="0.15">
      <c r="A26" s="2"/>
      <c r="B26" s="2"/>
      <c r="C26" s="2"/>
      <c r="D26" s="2"/>
      <c r="E26" s="2"/>
      <c r="F26" s="2"/>
    </row>
    <row r="27" spans="1:12" ht="15.75" customHeight="1" x14ac:dyDescent="0.15">
      <c r="A27" s="2"/>
      <c r="B27" s="2"/>
      <c r="C27" s="2"/>
      <c r="D27" s="2"/>
      <c r="E27" s="2"/>
      <c r="F27" s="2"/>
    </row>
    <row r="28" spans="1:12" ht="15.75" customHeight="1" x14ac:dyDescent="0.15">
      <c r="A28" s="2"/>
      <c r="B28" s="2"/>
      <c r="C28" s="2"/>
      <c r="D28" s="2"/>
      <c r="E28" s="2"/>
      <c r="F28" s="2"/>
    </row>
    <row r="29" spans="1:12" ht="15.75" customHeight="1" x14ac:dyDescent="0.15">
      <c r="A29" s="2"/>
      <c r="B29" s="2"/>
      <c r="C29" s="2"/>
      <c r="D29" s="2"/>
      <c r="E29" s="2"/>
      <c r="F29" s="2"/>
    </row>
    <row r="30" spans="1:12" ht="15.75" customHeight="1" x14ac:dyDescent="0.15">
      <c r="A30" s="2"/>
      <c r="B30" s="2"/>
      <c r="C30" s="2"/>
      <c r="D30" s="2"/>
      <c r="E30" s="2"/>
      <c r="F30" s="2"/>
    </row>
    <row r="31" spans="1:12" ht="15.75" customHeight="1" x14ac:dyDescent="0.15">
      <c r="A31" s="2"/>
      <c r="B31" s="2"/>
      <c r="C31" s="2"/>
      <c r="D31" s="2"/>
      <c r="E31" s="2"/>
      <c r="F31" s="2"/>
    </row>
    <row r="32" spans="1:12" ht="15.75" customHeight="1" x14ac:dyDescent="0.15">
      <c r="A32" s="2"/>
      <c r="B32" s="2"/>
      <c r="C32" s="2"/>
      <c r="D32" s="2"/>
      <c r="E32" s="2"/>
      <c r="F32" s="2"/>
    </row>
    <row r="33" spans="1:6" ht="15.75" customHeight="1" x14ac:dyDescent="0.15">
      <c r="A33" s="2"/>
      <c r="B33" s="2"/>
      <c r="C33" s="2"/>
      <c r="D33" s="2"/>
      <c r="E33" s="2"/>
      <c r="F33" s="2"/>
    </row>
    <row r="34" spans="1:6" ht="15.75" customHeight="1" x14ac:dyDescent="0.15">
      <c r="A34" s="2"/>
      <c r="B34" s="2"/>
      <c r="C34" s="2"/>
      <c r="D34" s="2"/>
      <c r="E34" s="2"/>
      <c r="F34" s="2"/>
    </row>
    <row r="35" spans="1:6" ht="15.75" customHeight="1" x14ac:dyDescent="0.15">
      <c r="A35" s="2"/>
      <c r="B35" s="2"/>
      <c r="C35" s="2"/>
      <c r="D35" s="2"/>
      <c r="E35" s="2"/>
      <c r="F35" s="2"/>
    </row>
    <row r="36" spans="1:6" ht="15.75" customHeight="1" x14ac:dyDescent="0.15">
      <c r="A36" s="2"/>
      <c r="B36" s="2"/>
      <c r="C36" s="2"/>
      <c r="D36" s="2"/>
      <c r="E36" s="2"/>
      <c r="F36" s="2"/>
    </row>
    <row r="37" spans="1:6" ht="15.75" customHeight="1" x14ac:dyDescent="0.15">
      <c r="A37" s="2"/>
      <c r="B37" s="2"/>
      <c r="C37" s="2"/>
      <c r="D37" s="2"/>
      <c r="E37" s="2"/>
      <c r="F37" s="2"/>
    </row>
    <row r="38" spans="1:6" ht="15.75" customHeight="1" x14ac:dyDescent="0.15">
      <c r="A38" s="2"/>
      <c r="B38" s="2"/>
      <c r="C38" s="2"/>
      <c r="D38" s="2"/>
      <c r="E38" s="2"/>
      <c r="F38" s="2"/>
    </row>
    <row r="39" spans="1:6" ht="15.75" customHeight="1" x14ac:dyDescent="0.15">
      <c r="A39" s="2"/>
      <c r="B39" s="2"/>
      <c r="C39" s="2"/>
      <c r="D39" s="2"/>
      <c r="E39" s="2"/>
      <c r="F39" s="2"/>
    </row>
    <row r="40" spans="1:6" ht="15.75" customHeight="1" x14ac:dyDescent="0.15">
      <c r="A40" s="2"/>
      <c r="B40" s="2"/>
      <c r="C40" s="2"/>
      <c r="D40" s="2"/>
      <c r="E40" s="2"/>
      <c r="F40" s="2"/>
    </row>
    <row r="41" spans="1:6" ht="15.75" customHeight="1" x14ac:dyDescent="0.15">
      <c r="A41" s="2"/>
      <c r="B41" s="2"/>
      <c r="C41" s="2"/>
      <c r="D41" s="2"/>
      <c r="E41" s="2"/>
      <c r="F41" s="2"/>
    </row>
    <row r="42" spans="1:6" ht="15.75" customHeight="1" x14ac:dyDescent="0.15">
      <c r="A42" s="2"/>
      <c r="B42" s="2"/>
      <c r="C42" s="2"/>
      <c r="D42" s="2"/>
      <c r="E42" s="2"/>
      <c r="F42" s="2"/>
    </row>
    <row r="43" spans="1:6" ht="15.75" customHeight="1" x14ac:dyDescent="0.15">
      <c r="A43" s="2"/>
      <c r="B43" s="2"/>
      <c r="C43" s="2"/>
      <c r="D43" s="2"/>
      <c r="E43" s="2"/>
      <c r="F43" s="2"/>
    </row>
    <row r="44" spans="1:6" ht="15.75" customHeight="1" x14ac:dyDescent="0.15">
      <c r="A44" s="2"/>
      <c r="B44" s="2"/>
      <c r="C44" s="2"/>
      <c r="D44" s="2"/>
      <c r="E44" s="2"/>
      <c r="F44" s="2"/>
    </row>
    <row r="45" spans="1:6" ht="15.75" customHeight="1" x14ac:dyDescent="0.15">
      <c r="A45" s="2"/>
      <c r="B45" s="2"/>
      <c r="C45" s="2"/>
      <c r="D45" s="2"/>
      <c r="E45" s="2"/>
      <c r="F45" s="2"/>
    </row>
    <row r="46" spans="1:6" ht="15.75" customHeight="1" x14ac:dyDescent="0.15">
      <c r="A46" s="2"/>
      <c r="B46" s="2"/>
      <c r="C46" s="2"/>
      <c r="D46" s="2"/>
      <c r="E46" s="2"/>
      <c r="F46" s="2"/>
    </row>
    <row r="47" spans="1:6" ht="15.75" customHeight="1" x14ac:dyDescent="0.15">
      <c r="A47" s="2"/>
      <c r="B47" s="2"/>
      <c r="C47" s="2"/>
      <c r="D47" s="2"/>
      <c r="E47" s="2"/>
      <c r="F47" s="2"/>
    </row>
    <row r="48" spans="1:6" ht="15.75" customHeight="1" x14ac:dyDescent="0.15">
      <c r="A48" s="2"/>
      <c r="B48" s="2"/>
      <c r="C48" s="2"/>
      <c r="D48" s="2"/>
      <c r="E48" s="2"/>
      <c r="F48" s="2"/>
    </row>
    <row r="49" spans="1:6" ht="15.75" customHeight="1" x14ac:dyDescent="0.15">
      <c r="A49" s="2"/>
      <c r="B49" s="2"/>
      <c r="C49" s="2"/>
      <c r="D49" s="2"/>
      <c r="E49" s="2"/>
      <c r="F49" s="2"/>
    </row>
    <row r="50" spans="1:6" ht="15.75" customHeight="1" x14ac:dyDescent="0.15">
      <c r="A50" s="2"/>
      <c r="B50" s="2"/>
      <c r="C50" s="2"/>
      <c r="D50" s="2"/>
      <c r="E50" s="2"/>
      <c r="F50" s="2"/>
    </row>
    <row r="51" spans="1:6" ht="15.75" customHeight="1" x14ac:dyDescent="0.15">
      <c r="A51" s="2"/>
      <c r="B51" s="2"/>
      <c r="C51" s="2"/>
      <c r="D51" s="2"/>
      <c r="E51" s="2"/>
      <c r="F51" s="2"/>
    </row>
    <row r="52" spans="1:6" ht="15.75" customHeight="1" x14ac:dyDescent="0.15">
      <c r="A52" s="2"/>
      <c r="B52" s="2"/>
      <c r="C52" s="2"/>
      <c r="D52" s="2"/>
      <c r="E52" s="2"/>
      <c r="F52" s="2"/>
    </row>
    <row r="53" spans="1:6" ht="15.75" customHeight="1" x14ac:dyDescent="0.15">
      <c r="A53" s="2"/>
      <c r="B53" s="2"/>
      <c r="C53" s="2"/>
      <c r="D53" s="2"/>
      <c r="E53" s="2"/>
      <c r="F53" s="2"/>
    </row>
    <row r="54" spans="1:6" ht="15.75" customHeight="1" x14ac:dyDescent="0.15">
      <c r="A54" s="2"/>
      <c r="B54" s="2"/>
      <c r="C54" s="2"/>
      <c r="D54" s="2"/>
      <c r="E54" s="2"/>
      <c r="F54" s="2"/>
    </row>
    <row r="55" spans="1:6" ht="15.75" customHeight="1" x14ac:dyDescent="0.15">
      <c r="A55" s="2"/>
      <c r="B55" s="2"/>
      <c r="C55" s="2"/>
      <c r="D55" s="2"/>
      <c r="E55" s="2"/>
      <c r="F55" s="2"/>
    </row>
    <row r="56" spans="1:6" ht="15.75" customHeight="1" x14ac:dyDescent="0.15">
      <c r="A56" s="2"/>
      <c r="B56" s="2"/>
      <c r="C56" s="2"/>
      <c r="D56" s="2"/>
      <c r="E56" s="2"/>
      <c r="F56" s="2"/>
    </row>
    <row r="57" spans="1:6" ht="15.75" customHeight="1" x14ac:dyDescent="0.15">
      <c r="A57" s="2"/>
      <c r="B57" s="2"/>
      <c r="C57" s="2"/>
      <c r="D57" s="2"/>
      <c r="E57" s="2"/>
      <c r="F57" s="2"/>
    </row>
    <row r="58" spans="1:6" ht="15.75" customHeight="1" x14ac:dyDescent="0.15">
      <c r="A58" s="2"/>
      <c r="B58" s="2"/>
      <c r="C58" s="2"/>
      <c r="D58" s="2"/>
      <c r="E58" s="2"/>
      <c r="F58" s="2"/>
    </row>
    <row r="59" spans="1:6" ht="15.75" customHeight="1" x14ac:dyDescent="0.15">
      <c r="A59" s="2"/>
      <c r="B59" s="2"/>
      <c r="C59" s="2"/>
      <c r="D59" s="2"/>
      <c r="E59" s="2"/>
      <c r="F59" s="2"/>
    </row>
    <row r="60" spans="1:6" ht="15.75" customHeight="1" x14ac:dyDescent="0.15">
      <c r="A60" s="2"/>
      <c r="B60" s="2"/>
      <c r="C60" s="2"/>
      <c r="D60" s="2"/>
      <c r="E60" s="2"/>
      <c r="F60" s="2"/>
    </row>
    <row r="61" spans="1:6" ht="15.75" customHeight="1" x14ac:dyDescent="0.15">
      <c r="A61" s="2"/>
      <c r="B61" s="2"/>
      <c r="C61" s="2"/>
      <c r="D61" s="2"/>
      <c r="E61" s="2"/>
      <c r="F61" s="2"/>
    </row>
    <row r="62" spans="1:6" ht="15.75" customHeight="1" x14ac:dyDescent="0.15">
      <c r="A62" s="2"/>
      <c r="B62" s="2"/>
      <c r="C62" s="2"/>
      <c r="D62" s="2"/>
      <c r="E62" s="2"/>
      <c r="F62" s="2"/>
    </row>
    <row r="63" spans="1:6" ht="15.75" customHeight="1" x14ac:dyDescent="0.15">
      <c r="A63" s="2"/>
      <c r="B63" s="2"/>
      <c r="C63" s="2"/>
      <c r="D63" s="2"/>
      <c r="E63" s="2"/>
      <c r="F63" s="2"/>
    </row>
    <row r="64" spans="1:6" ht="15.75" customHeight="1" x14ac:dyDescent="0.15">
      <c r="A64" s="2"/>
      <c r="B64" s="2"/>
      <c r="C64" s="2"/>
      <c r="D64" s="2"/>
      <c r="E64" s="2"/>
      <c r="F64" s="2"/>
    </row>
    <row r="65" spans="1:6" ht="15.75" customHeight="1" x14ac:dyDescent="0.15">
      <c r="A65" s="2"/>
      <c r="B65" s="2"/>
      <c r="C65" s="2"/>
      <c r="D65" s="2"/>
      <c r="E65" s="2"/>
      <c r="F65" s="2"/>
    </row>
    <row r="66" spans="1:6" ht="15.75" customHeight="1" x14ac:dyDescent="0.15">
      <c r="A66" s="2"/>
      <c r="B66" s="2"/>
      <c r="C66" s="2"/>
      <c r="D66" s="2"/>
      <c r="E66" s="2"/>
      <c r="F66" s="2"/>
    </row>
    <row r="67" spans="1:6" ht="15.75" customHeight="1" x14ac:dyDescent="0.15">
      <c r="A67" s="2"/>
      <c r="B67" s="2"/>
      <c r="C67" s="2"/>
      <c r="D67" s="2"/>
      <c r="E67" s="2"/>
      <c r="F67" s="2"/>
    </row>
    <row r="68" spans="1:6" ht="15.75" customHeight="1" x14ac:dyDescent="0.15">
      <c r="A68" s="2"/>
      <c r="B68" s="2"/>
      <c r="C68" s="2"/>
      <c r="D68" s="2"/>
      <c r="E68" s="2"/>
      <c r="F68" s="2"/>
    </row>
    <row r="69" spans="1:6" ht="15.75" customHeight="1" x14ac:dyDescent="0.15">
      <c r="A69" s="2"/>
      <c r="B69" s="2"/>
      <c r="C69" s="2"/>
      <c r="D69" s="2"/>
      <c r="E69" s="2"/>
      <c r="F69" s="2"/>
    </row>
    <row r="70" spans="1:6" ht="15.75" customHeight="1" x14ac:dyDescent="0.15">
      <c r="A70" s="2"/>
      <c r="B70" s="2"/>
      <c r="C70" s="2"/>
      <c r="D70" s="2"/>
      <c r="E70" s="2"/>
      <c r="F70" s="2"/>
    </row>
    <row r="71" spans="1:6" ht="15.75" customHeight="1" x14ac:dyDescent="0.15">
      <c r="A71" s="2"/>
      <c r="B71" s="2"/>
      <c r="C71" s="2"/>
      <c r="D71" s="2"/>
      <c r="E71" s="2"/>
      <c r="F71" s="2"/>
    </row>
    <row r="72" spans="1:6" ht="15.75" customHeight="1" x14ac:dyDescent="0.15">
      <c r="A72" s="2"/>
      <c r="B72" s="2"/>
      <c r="C72" s="2"/>
      <c r="D72" s="2"/>
      <c r="E72" s="2"/>
      <c r="F72" s="2"/>
    </row>
    <row r="73" spans="1:6" ht="15.75" customHeight="1" x14ac:dyDescent="0.15">
      <c r="A73" s="2"/>
      <c r="B73" s="2"/>
      <c r="C73" s="2"/>
      <c r="D73" s="2"/>
      <c r="E73" s="2"/>
      <c r="F73" s="2"/>
    </row>
    <row r="74" spans="1:6" ht="15.75" customHeight="1" x14ac:dyDescent="0.15">
      <c r="A74" s="2"/>
      <c r="B74" s="2"/>
      <c r="C74" s="2"/>
      <c r="D74" s="2"/>
      <c r="E74" s="2"/>
      <c r="F74" s="2"/>
    </row>
    <row r="75" spans="1:6" ht="15.75" customHeight="1" x14ac:dyDescent="0.15">
      <c r="A75" s="2"/>
      <c r="B75" s="2"/>
      <c r="C75" s="2"/>
      <c r="D75" s="2"/>
      <c r="E75" s="2"/>
      <c r="F75" s="2"/>
    </row>
    <row r="76" spans="1:6" ht="15.75" customHeight="1" x14ac:dyDescent="0.15">
      <c r="A76" s="2"/>
      <c r="B76" s="2"/>
      <c r="C76" s="2"/>
      <c r="D76" s="2"/>
      <c r="E76" s="2"/>
      <c r="F76" s="2"/>
    </row>
    <row r="77" spans="1:6" ht="15.75" customHeight="1" x14ac:dyDescent="0.15">
      <c r="A77" s="2"/>
      <c r="B77" s="2"/>
      <c r="C77" s="2"/>
      <c r="D77" s="2"/>
      <c r="E77" s="2"/>
      <c r="F77" s="2"/>
    </row>
    <row r="78" spans="1:6" ht="15.75" customHeight="1" x14ac:dyDescent="0.15">
      <c r="A78" s="2"/>
      <c r="B78" s="2"/>
      <c r="C78" s="2"/>
      <c r="D78" s="2"/>
      <c r="E78" s="2"/>
      <c r="F78" s="2"/>
    </row>
    <row r="79" spans="1:6" ht="15.75" customHeight="1" x14ac:dyDescent="0.15">
      <c r="A79" s="2"/>
      <c r="B79" s="2"/>
      <c r="C79" s="2"/>
      <c r="D79" s="2"/>
      <c r="E79" s="2"/>
      <c r="F79" s="2"/>
    </row>
    <row r="80" spans="1:6" ht="15.75" customHeight="1" x14ac:dyDescent="0.15">
      <c r="A80" s="2"/>
      <c r="B80" s="2"/>
      <c r="C80" s="2"/>
      <c r="D80" s="2"/>
      <c r="E80" s="2"/>
      <c r="F80" s="2"/>
    </row>
    <row r="81" spans="1:6" ht="15.75" customHeight="1" x14ac:dyDescent="0.15">
      <c r="A81" s="2"/>
      <c r="B81" s="2"/>
      <c r="C81" s="2"/>
      <c r="D81" s="2"/>
      <c r="E81" s="2"/>
      <c r="F81" s="2"/>
    </row>
    <row r="82" spans="1:6" ht="15.75" customHeight="1" x14ac:dyDescent="0.15">
      <c r="A82" s="2"/>
      <c r="B82" s="2"/>
      <c r="C82" s="2"/>
      <c r="D82" s="2"/>
      <c r="E82" s="2"/>
      <c r="F82" s="2"/>
    </row>
    <row r="83" spans="1:6" ht="15.75" customHeight="1" x14ac:dyDescent="0.15">
      <c r="A83" s="2"/>
      <c r="B83" s="2"/>
      <c r="C83" s="2"/>
      <c r="D83" s="2"/>
      <c r="E83" s="2"/>
      <c r="F83" s="2"/>
    </row>
    <row r="84" spans="1:6" ht="15.75" customHeight="1" x14ac:dyDescent="0.15">
      <c r="A84" s="2"/>
      <c r="B84" s="2"/>
      <c r="C84" s="2"/>
      <c r="D84" s="2"/>
      <c r="E84" s="2"/>
      <c r="F84" s="2"/>
    </row>
    <row r="85" spans="1:6" ht="15.75" customHeight="1" x14ac:dyDescent="0.15">
      <c r="A85" s="2"/>
      <c r="B85" s="2"/>
      <c r="C85" s="2"/>
      <c r="D85" s="2"/>
      <c r="E85" s="2"/>
      <c r="F85" s="2"/>
    </row>
    <row r="86" spans="1:6" ht="15.75" customHeight="1" x14ac:dyDescent="0.15">
      <c r="A86" s="2"/>
      <c r="B86" s="2"/>
      <c r="C86" s="2"/>
      <c r="D86" s="2"/>
      <c r="E86" s="2"/>
      <c r="F86" s="2"/>
    </row>
    <row r="87" spans="1:6" ht="15.75" customHeight="1" x14ac:dyDescent="0.15">
      <c r="A87" s="2"/>
      <c r="B87" s="2"/>
      <c r="C87" s="2"/>
      <c r="D87" s="2"/>
      <c r="E87" s="2"/>
      <c r="F87" s="2"/>
    </row>
    <row r="88" spans="1:6" ht="15.75" customHeight="1" x14ac:dyDescent="0.15">
      <c r="A88" s="2"/>
      <c r="B88" s="2"/>
      <c r="C88" s="2"/>
      <c r="D88" s="2"/>
      <c r="E88" s="2"/>
      <c r="F88" s="2"/>
    </row>
    <row r="89" spans="1:6" ht="15.75" customHeight="1" x14ac:dyDescent="0.15">
      <c r="A89" s="2"/>
      <c r="B89" s="2"/>
      <c r="C89" s="2"/>
      <c r="D89" s="2"/>
      <c r="E89" s="2"/>
      <c r="F89" s="2"/>
    </row>
    <row r="90" spans="1:6" ht="15.75" customHeight="1" x14ac:dyDescent="0.15">
      <c r="A90" s="2"/>
      <c r="B90" s="2"/>
      <c r="C90" s="2"/>
      <c r="D90" s="2"/>
      <c r="E90" s="2"/>
      <c r="F90" s="2"/>
    </row>
    <row r="91" spans="1:6" ht="15.75" customHeight="1" x14ac:dyDescent="0.15">
      <c r="A91" s="2"/>
      <c r="B91" s="2"/>
      <c r="C91" s="2"/>
      <c r="D91" s="2"/>
      <c r="E91" s="2"/>
      <c r="F91" s="2"/>
    </row>
    <row r="92" spans="1:6" ht="15.75" customHeight="1" x14ac:dyDescent="0.15">
      <c r="A92" s="2"/>
      <c r="B92" s="2"/>
      <c r="C92" s="2"/>
      <c r="D92" s="2"/>
      <c r="E92" s="2"/>
      <c r="F92" s="2"/>
    </row>
    <row r="93" spans="1:6" ht="15.75" customHeight="1" x14ac:dyDescent="0.15">
      <c r="A93" s="2"/>
      <c r="B93" s="2"/>
      <c r="C93" s="2"/>
      <c r="D93" s="2"/>
      <c r="E93" s="2"/>
      <c r="F93" s="2"/>
    </row>
    <row r="94" spans="1:6" ht="15.75" customHeight="1" x14ac:dyDescent="0.15">
      <c r="A94" s="2"/>
      <c r="B94" s="2"/>
      <c r="C94" s="2"/>
      <c r="D94" s="2"/>
      <c r="E94" s="2"/>
      <c r="F94" s="2"/>
    </row>
    <row r="95" spans="1:6" ht="15.75" customHeight="1" x14ac:dyDescent="0.15">
      <c r="A95" s="2"/>
      <c r="B95" s="2"/>
      <c r="C95" s="2"/>
      <c r="D95" s="2"/>
      <c r="E95" s="2"/>
      <c r="F95" s="2"/>
    </row>
    <row r="96" spans="1:6" ht="15.75" customHeight="1" x14ac:dyDescent="0.15">
      <c r="A96" s="2"/>
      <c r="B96" s="2"/>
      <c r="C96" s="2"/>
      <c r="D96" s="2"/>
      <c r="E96" s="2"/>
      <c r="F96" s="2"/>
    </row>
    <row r="97" spans="1:6" ht="15.75" customHeight="1" x14ac:dyDescent="0.15">
      <c r="A97" s="2"/>
      <c r="B97" s="2"/>
      <c r="C97" s="2"/>
      <c r="D97" s="2"/>
      <c r="E97" s="2"/>
      <c r="F97" s="2"/>
    </row>
    <row r="98" spans="1:6" ht="15.75" customHeight="1" x14ac:dyDescent="0.15">
      <c r="A98" s="2"/>
      <c r="B98" s="2"/>
      <c r="C98" s="2"/>
      <c r="D98" s="2"/>
      <c r="E98" s="2"/>
      <c r="F98" s="2"/>
    </row>
    <row r="99" spans="1:6" ht="15.75" customHeight="1" x14ac:dyDescent="0.15">
      <c r="A99" s="2"/>
      <c r="B99" s="2"/>
      <c r="C99" s="2"/>
      <c r="D99" s="2"/>
      <c r="E99" s="2"/>
      <c r="F99" s="2"/>
    </row>
    <row r="100" spans="1:6" ht="15.75" customHeight="1" x14ac:dyDescent="0.15">
      <c r="A100" s="2"/>
      <c r="B100" s="2"/>
      <c r="C100" s="2"/>
      <c r="D100" s="2"/>
      <c r="E100" s="2"/>
      <c r="F100" s="2"/>
    </row>
    <row r="101" spans="1:6" ht="15.75" customHeight="1" x14ac:dyDescent="0.15">
      <c r="A101" s="2"/>
      <c r="B101" s="2"/>
      <c r="C101" s="2"/>
      <c r="D101" s="2"/>
      <c r="E101" s="2"/>
      <c r="F101" s="2"/>
    </row>
    <row r="102" spans="1:6" ht="15.75" customHeight="1" x14ac:dyDescent="0.15">
      <c r="A102" s="2"/>
      <c r="B102" s="2"/>
      <c r="C102" s="2"/>
      <c r="D102" s="2"/>
      <c r="E102" s="2"/>
      <c r="F102" s="2"/>
    </row>
    <row r="103" spans="1:6" ht="15.75" customHeight="1" x14ac:dyDescent="0.15">
      <c r="A103" s="2"/>
      <c r="B103" s="2"/>
      <c r="C103" s="2"/>
      <c r="D103" s="2"/>
      <c r="E103" s="2"/>
      <c r="F103" s="2"/>
    </row>
    <row r="104" spans="1:6" ht="15.75" customHeight="1" x14ac:dyDescent="0.15">
      <c r="A104" s="2"/>
      <c r="B104" s="2"/>
      <c r="C104" s="2"/>
      <c r="D104" s="2"/>
      <c r="E104" s="2"/>
      <c r="F104" s="2"/>
    </row>
    <row r="105" spans="1:6" ht="15.75" customHeight="1" x14ac:dyDescent="0.15">
      <c r="A105" s="2"/>
      <c r="B105" s="2"/>
      <c r="C105" s="2"/>
      <c r="D105" s="2"/>
      <c r="E105" s="2"/>
      <c r="F105" s="2"/>
    </row>
    <row r="106" spans="1:6" ht="15.75" customHeight="1" x14ac:dyDescent="0.15">
      <c r="A106" s="2"/>
      <c r="B106" s="2"/>
      <c r="C106" s="2"/>
      <c r="D106" s="2"/>
      <c r="E106" s="2"/>
      <c r="F106" s="2"/>
    </row>
    <row r="107" spans="1:6" ht="15.75" customHeight="1" x14ac:dyDescent="0.15">
      <c r="A107" s="2"/>
      <c r="B107" s="2"/>
      <c r="C107" s="2"/>
      <c r="D107" s="2"/>
      <c r="E107" s="2"/>
      <c r="F107" s="2"/>
    </row>
    <row r="108" spans="1:6" ht="15.75" customHeight="1" x14ac:dyDescent="0.15">
      <c r="A108" s="2"/>
      <c r="B108" s="2"/>
      <c r="C108" s="2"/>
      <c r="D108" s="2"/>
      <c r="E108" s="2"/>
      <c r="F108" s="2"/>
    </row>
    <row r="109" spans="1:6" ht="15.75" customHeight="1" x14ac:dyDescent="0.15">
      <c r="A109" s="2"/>
      <c r="B109" s="2"/>
      <c r="C109" s="2"/>
      <c r="D109" s="2"/>
      <c r="E109" s="2"/>
      <c r="F109" s="2"/>
    </row>
    <row r="110" spans="1:6" ht="15.75" customHeight="1" x14ac:dyDescent="0.15">
      <c r="A110" s="2"/>
      <c r="B110" s="2"/>
      <c r="C110" s="2"/>
      <c r="D110" s="2"/>
      <c r="E110" s="2"/>
      <c r="F110" s="2"/>
    </row>
    <row r="111" spans="1:6" ht="15.75" customHeight="1" x14ac:dyDescent="0.15">
      <c r="A111" s="2"/>
      <c r="B111" s="2"/>
      <c r="C111" s="2"/>
      <c r="D111" s="2"/>
      <c r="E111" s="2"/>
      <c r="F111" s="2"/>
    </row>
    <row r="112" spans="1:6" ht="15.75" customHeight="1" x14ac:dyDescent="0.15">
      <c r="A112" s="2"/>
      <c r="B112" s="2"/>
      <c r="C112" s="2"/>
      <c r="D112" s="2"/>
      <c r="E112" s="2"/>
      <c r="F112" s="2"/>
    </row>
    <row r="113" spans="1:6" ht="15.75" customHeight="1" x14ac:dyDescent="0.15">
      <c r="A113" s="2"/>
      <c r="B113" s="2"/>
      <c r="C113" s="2"/>
      <c r="D113" s="2"/>
      <c r="E113" s="2"/>
      <c r="F113" s="2"/>
    </row>
    <row r="114" spans="1:6" ht="15.75" customHeight="1" x14ac:dyDescent="0.15">
      <c r="A114" s="2"/>
      <c r="B114" s="2"/>
      <c r="C114" s="2"/>
      <c r="D114" s="2"/>
      <c r="E114" s="2"/>
      <c r="F114" s="2"/>
    </row>
    <row r="115" spans="1:6" ht="15.75" customHeight="1" x14ac:dyDescent="0.15">
      <c r="A115" s="2"/>
      <c r="B115" s="2"/>
      <c r="C115" s="2"/>
      <c r="D115" s="2"/>
      <c r="E115" s="2"/>
      <c r="F115" s="2"/>
    </row>
    <row r="116" spans="1:6" ht="15.75" customHeight="1" x14ac:dyDescent="0.15">
      <c r="A116" s="2"/>
      <c r="B116" s="2"/>
      <c r="C116" s="2"/>
      <c r="D116" s="2"/>
      <c r="E116" s="2"/>
      <c r="F116" s="2"/>
    </row>
    <row r="117" spans="1:6" ht="15.75" customHeight="1" x14ac:dyDescent="0.15">
      <c r="A117" s="2"/>
      <c r="B117" s="2"/>
      <c r="C117" s="2"/>
      <c r="D117" s="2"/>
      <c r="E117" s="2"/>
      <c r="F117" s="2"/>
    </row>
    <row r="118" spans="1:6" ht="15.75" customHeight="1" x14ac:dyDescent="0.15">
      <c r="A118" s="2"/>
      <c r="B118" s="2"/>
      <c r="C118" s="2"/>
      <c r="D118" s="2"/>
      <c r="E118" s="2"/>
      <c r="F118" s="2"/>
    </row>
    <row r="119" spans="1:6" ht="15.75" customHeight="1" x14ac:dyDescent="0.15">
      <c r="A119" s="2"/>
      <c r="B119" s="2"/>
      <c r="C119" s="2"/>
      <c r="D119" s="2"/>
      <c r="E119" s="2"/>
      <c r="F119" s="2"/>
    </row>
    <row r="120" spans="1:6" ht="15.75" customHeight="1" x14ac:dyDescent="0.15">
      <c r="A120" s="2"/>
      <c r="B120" s="2"/>
      <c r="C120" s="2"/>
      <c r="D120" s="2"/>
      <c r="E120" s="2"/>
      <c r="F120" s="2"/>
    </row>
    <row r="121" spans="1:6" ht="15.75" customHeight="1" x14ac:dyDescent="0.15">
      <c r="A121" s="2"/>
      <c r="B121" s="2"/>
      <c r="C121" s="2"/>
      <c r="D121" s="2"/>
      <c r="E121" s="2"/>
      <c r="F121" s="2"/>
    </row>
    <row r="122" spans="1:6" ht="15.75" customHeight="1" x14ac:dyDescent="0.15">
      <c r="A122" s="2"/>
      <c r="B122" s="2"/>
      <c r="C122" s="2"/>
      <c r="D122" s="2"/>
      <c r="E122" s="2"/>
      <c r="F122" s="2"/>
    </row>
    <row r="123" spans="1:6" ht="15.75" customHeight="1" x14ac:dyDescent="0.15">
      <c r="A123" s="2"/>
      <c r="B123" s="2"/>
      <c r="C123" s="2"/>
      <c r="D123" s="2"/>
      <c r="E123" s="2"/>
      <c r="F123" s="2"/>
    </row>
    <row r="124" spans="1:6" ht="15.75" customHeight="1" x14ac:dyDescent="0.15">
      <c r="A124" s="2"/>
      <c r="B124" s="2"/>
      <c r="C124" s="2"/>
      <c r="D124" s="2"/>
      <c r="E124" s="2"/>
      <c r="F124" s="2"/>
    </row>
    <row r="125" spans="1:6" ht="15.75" customHeight="1" x14ac:dyDescent="0.15">
      <c r="A125" s="2"/>
      <c r="B125" s="2"/>
      <c r="C125" s="2"/>
      <c r="D125" s="2"/>
      <c r="E125" s="2"/>
      <c r="F125" s="2"/>
    </row>
    <row r="126" spans="1:6" ht="15.75" customHeight="1" x14ac:dyDescent="0.15">
      <c r="A126" s="2"/>
      <c r="B126" s="2"/>
      <c r="C126" s="2"/>
      <c r="D126" s="2"/>
      <c r="E126" s="2"/>
      <c r="F126" s="2"/>
    </row>
    <row r="127" spans="1:6" ht="15.75" customHeight="1" x14ac:dyDescent="0.15">
      <c r="A127" s="2"/>
      <c r="B127" s="2"/>
      <c r="C127" s="2"/>
      <c r="D127" s="2"/>
      <c r="E127" s="2"/>
      <c r="F127" s="2"/>
    </row>
    <row r="128" spans="1:6" ht="15.75" customHeight="1" x14ac:dyDescent="0.15">
      <c r="A128" s="2"/>
      <c r="B128" s="2"/>
      <c r="C128" s="2"/>
      <c r="D128" s="2"/>
      <c r="E128" s="2"/>
      <c r="F128" s="2"/>
    </row>
    <row r="129" spans="1:6" ht="15.75" customHeight="1" x14ac:dyDescent="0.15">
      <c r="A129" s="2"/>
      <c r="B129" s="2"/>
      <c r="C129" s="2"/>
      <c r="D129" s="2"/>
      <c r="E129" s="2"/>
      <c r="F129" s="2"/>
    </row>
    <row r="130" spans="1:6" ht="15.75" customHeight="1" x14ac:dyDescent="0.15">
      <c r="A130" s="2"/>
      <c r="B130" s="2"/>
      <c r="C130" s="2"/>
      <c r="D130" s="2"/>
      <c r="E130" s="2"/>
      <c r="F130" s="2"/>
    </row>
    <row r="131" spans="1:6" ht="15.75" customHeight="1" x14ac:dyDescent="0.15">
      <c r="A131" s="2"/>
      <c r="B131" s="2"/>
      <c r="C131" s="2"/>
      <c r="D131" s="2"/>
      <c r="E131" s="2"/>
      <c r="F131" s="2"/>
    </row>
    <row r="132" spans="1:6" ht="15.75" customHeight="1" x14ac:dyDescent="0.15">
      <c r="A132" s="2"/>
      <c r="B132" s="2"/>
      <c r="C132" s="2"/>
      <c r="D132" s="2"/>
      <c r="E132" s="2"/>
      <c r="F132" s="2"/>
    </row>
    <row r="133" spans="1:6" ht="15.75" customHeight="1" x14ac:dyDescent="0.15">
      <c r="A133" s="2"/>
      <c r="B133" s="2"/>
      <c r="C133" s="2"/>
      <c r="D133" s="2"/>
      <c r="E133" s="2"/>
      <c r="F133" s="2"/>
    </row>
    <row r="134" spans="1:6" ht="15.75" customHeight="1" x14ac:dyDescent="0.15">
      <c r="A134" s="2"/>
      <c r="B134" s="2"/>
      <c r="C134" s="2"/>
      <c r="D134" s="2"/>
      <c r="E134" s="2"/>
      <c r="F134" s="2"/>
    </row>
    <row r="135" spans="1:6" ht="15.75" customHeight="1" x14ac:dyDescent="0.15">
      <c r="A135" s="2"/>
      <c r="B135" s="2"/>
      <c r="C135" s="2"/>
      <c r="D135" s="2"/>
      <c r="E135" s="2"/>
      <c r="F135" s="2"/>
    </row>
    <row r="136" spans="1:6" ht="15.75" customHeight="1" x14ac:dyDescent="0.15">
      <c r="A136" s="2"/>
      <c r="B136" s="2"/>
      <c r="C136" s="2"/>
      <c r="D136" s="2"/>
      <c r="E136" s="2"/>
      <c r="F136" s="2"/>
    </row>
    <row r="137" spans="1:6" ht="15.75" customHeight="1" x14ac:dyDescent="0.15">
      <c r="A137" s="2"/>
      <c r="B137" s="2"/>
      <c r="C137" s="2"/>
      <c r="D137" s="2"/>
      <c r="E137" s="2"/>
      <c r="F137" s="2"/>
    </row>
    <row r="138" spans="1:6" ht="15.75" customHeight="1" x14ac:dyDescent="0.15">
      <c r="A138" s="2"/>
      <c r="B138" s="2"/>
      <c r="C138" s="2"/>
      <c r="D138" s="2"/>
      <c r="E138" s="2"/>
      <c r="F138" s="2"/>
    </row>
    <row r="139" spans="1:6" ht="15.75" customHeight="1" x14ac:dyDescent="0.15">
      <c r="A139" s="2"/>
      <c r="B139" s="2"/>
      <c r="C139" s="2"/>
      <c r="D139" s="2"/>
      <c r="E139" s="2"/>
      <c r="F139" s="2"/>
    </row>
    <row r="140" spans="1:6" ht="15.75" customHeight="1" x14ac:dyDescent="0.15">
      <c r="A140" s="2"/>
      <c r="B140" s="2"/>
      <c r="C140" s="2"/>
      <c r="D140" s="2"/>
      <c r="E140" s="2"/>
      <c r="F140" s="2"/>
    </row>
    <row r="141" spans="1:6" ht="15.75" customHeight="1" x14ac:dyDescent="0.15">
      <c r="A141" s="2"/>
      <c r="B141" s="2"/>
      <c r="C141" s="2"/>
      <c r="D141" s="2"/>
      <c r="E141" s="2"/>
      <c r="F141" s="2"/>
    </row>
    <row r="142" spans="1:6" ht="15.75" customHeight="1" x14ac:dyDescent="0.15">
      <c r="A142" s="2"/>
      <c r="B142" s="2"/>
      <c r="C142" s="2"/>
      <c r="D142" s="2"/>
      <c r="E142" s="2"/>
      <c r="F142" s="2"/>
    </row>
    <row r="143" spans="1:6" ht="15.75" customHeight="1" x14ac:dyDescent="0.15">
      <c r="A143" s="2"/>
      <c r="B143" s="2"/>
      <c r="C143" s="2"/>
      <c r="D143" s="2"/>
      <c r="E143" s="2"/>
      <c r="F143" s="2"/>
    </row>
    <row r="144" spans="1:6" ht="15.75" customHeight="1" x14ac:dyDescent="0.15">
      <c r="A144" s="2"/>
      <c r="B144" s="2"/>
      <c r="C144" s="2"/>
      <c r="D144" s="2"/>
      <c r="E144" s="2"/>
      <c r="F144" s="2"/>
    </row>
    <row r="145" spans="1:6" ht="15.75" customHeight="1" x14ac:dyDescent="0.15">
      <c r="A145" s="2"/>
      <c r="B145" s="2"/>
      <c r="C145" s="2"/>
      <c r="D145" s="2"/>
      <c r="E145" s="2"/>
      <c r="F145" s="2"/>
    </row>
    <row r="146" spans="1:6" ht="15.75" customHeight="1" x14ac:dyDescent="0.15">
      <c r="A146" s="2"/>
      <c r="B146" s="2"/>
      <c r="C146" s="2"/>
      <c r="D146" s="2"/>
      <c r="E146" s="2"/>
      <c r="F146" s="2"/>
    </row>
    <row r="147" spans="1:6" ht="15.75" customHeight="1" x14ac:dyDescent="0.15">
      <c r="A147" s="2"/>
      <c r="B147" s="2"/>
      <c r="C147" s="2"/>
      <c r="D147" s="2"/>
      <c r="E147" s="2"/>
      <c r="F147" s="2"/>
    </row>
    <row r="148" spans="1:6" ht="15.75" customHeight="1" x14ac:dyDescent="0.15">
      <c r="A148" s="2"/>
      <c r="B148" s="2"/>
      <c r="C148" s="2"/>
      <c r="D148" s="2"/>
      <c r="E148" s="2"/>
      <c r="F148" s="2"/>
    </row>
    <row r="149" spans="1:6" ht="15.75" customHeight="1" x14ac:dyDescent="0.15">
      <c r="A149" s="2"/>
      <c r="B149" s="2"/>
      <c r="C149" s="2"/>
      <c r="D149" s="2"/>
      <c r="E149" s="2"/>
      <c r="F149" s="2"/>
    </row>
    <row r="150" spans="1:6" ht="15.75" customHeight="1" x14ac:dyDescent="0.15">
      <c r="A150" s="2"/>
      <c r="B150" s="2"/>
      <c r="C150" s="2"/>
      <c r="D150" s="2"/>
      <c r="E150" s="2"/>
      <c r="F150" s="2"/>
    </row>
    <row r="151" spans="1:6" ht="15.75" customHeight="1" x14ac:dyDescent="0.15">
      <c r="A151" s="2"/>
      <c r="B151" s="2"/>
      <c r="C151" s="2"/>
      <c r="D151" s="2"/>
      <c r="E151" s="2"/>
      <c r="F151" s="2"/>
    </row>
    <row r="152" spans="1:6" ht="15.75" customHeight="1" x14ac:dyDescent="0.15">
      <c r="A152" s="2"/>
      <c r="B152" s="2"/>
      <c r="C152" s="2"/>
      <c r="D152" s="2"/>
      <c r="E152" s="2"/>
      <c r="F152" s="2"/>
    </row>
    <row r="153" spans="1:6" ht="15.75" customHeight="1" x14ac:dyDescent="0.15">
      <c r="A153" s="2"/>
      <c r="B153" s="2"/>
      <c r="C153" s="2"/>
      <c r="D153" s="2"/>
      <c r="E153" s="2"/>
      <c r="F153" s="2"/>
    </row>
    <row r="154" spans="1:6" ht="15.75" customHeight="1" x14ac:dyDescent="0.15">
      <c r="A154" s="2"/>
      <c r="B154" s="2"/>
      <c r="C154" s="2"/>
      <c r="D154" s="2"/>
      <c r="E154" s="2"/>
      <c r="F154" s="2"/>
    </row>
    <row r="155" spans="1:6" ht="15.75" customHeight="1" x14ac:dyDescent="0.15">
      <c r="A155" s="2"/>
      <c r="B155" s="2"/>
      <c r="C155" s="2"/>
      <c r="D155" s="2"/>
      <c r="E155" s="2"/>
      <c r="F155" s="2"/>
    </row>
    <row r="156" spans="1:6" ht="15.75" customHeight="1" x14ac:dyDescent="0.15">
      <c r="A156" s="2"/>
      <c r="B156" s="2"/>
      <c r="C156" s="2"/>
      <c r="D156" s="2"/>
      <c r="E156" s="2"/>
      <c r="F156" s="2"/>
    </row>
    <row r="157" spans="1:6" ht="15.75" customHeight="1" x14ac:dyDescent="0.15">
      <c r="A157" s="2"/>
      <c r="B157" s="2"/>
      <c r="C157" s="2"/>
      <c r="D157" s="2"/>
      <c r="E157" s="2"/>
      <c r="F157" s="2"/>
    </row>
    <row r="158" spans="1:6" ht="15.75" customHeight="1" x14ac:dyDescent="0.15">
      <c r="A158" s="2"/>
      <c r="B158" s="2"/>
      <c r="C158" s="2"/>
      <c r="D158" s="2"/>
      <c r="E158" s="2"/>
      <c r="F158" s="2"/>
    </row>
    <row r="159" spans="1:6" ht="15.75" customHeight="1" x14ac:dyDescent="0.15">
      <c r="A159" s="2"/>
      <c r="B159" s="2"/>
      <c r="C159" s="2"/>
      <c r="D159" s="2"/>
      <c r="E159" s="2"/>
      <c r="F159" s="2"/>
    </row>
    <row r="160" spans="1:6" ht="15.75" customHeight="1" x14ac:dyDescent="0.15">
      <c r="A160" s="2"/>
      <c r="B160" s="2"/>
      <c r="C160" s="2"/>
      <c r="D160" s="2"/>
      <c r="E160" s="2"/>
      <c r="F160" s="2"/>
    </row>
    <row r="161" spans="1:6" ht="15.75" customHeight="1" x14ac:dyDescent="0.15">
      <c r="A161" s="2"/>
      <c r="B161" s="2"/>
      <c r="C161" s="2"/>
      <c r="D161" s="2"/>
      <c r="E161" s="2"/>
      <c r="F161" s="2"/>
    </row>
    <row r="162" spans="1:6" ht="15.75" customHeight="1" x14ac:dyDescent="0.15">
      <c r="A162" s="2"/>
      <c r="B162" s="2"/>
      <c r="C162" s="2"/>
      <c r="D162" s="2"/>
      <c r="E162" s="2"/>
      <c r="F162" s="2"/>
    </row>
    <row r="163" spans="1:6" ht="15.75" customHeight="1" x14ac:dyDescent="0.15">
      <c r="A163" s="2"/>
      <c r="B163" s="2"/>
      <c r="C163" s="2"/>
      <c r="D163" s="2"/>
      <c r="E163" s="2"/>
      <c r="F163" s="2"/>
    </row>
    <row r="164" spans="1:6" ht="15.75" customHeight="1" x14ac:dyDescent="0.15">
      <c r="A164" s="2"/>
      <c r="B164" s="2"/>
      <c r="C164" s="2"/>
      <c r="D164" s="2"/>
      <c r="E164" s="2"/>
      <c r="F164" s="2"/>
    </row>
    <row r="165" spans="1:6" ht="15.75" customHeight="1" x14ac:dyDescent="0.15">
      <c r="A165" s="2"/>
      <c r="B165" s="2"/>
      <c r="C165" s="2"/>
      <c r="D165" s="2"/>
      <c r="E165" s="2"/>
      <c r="F165" s="2"/>
    </row>
    <row r="166" spans="1:6" ht="15.75" customHeight="1" x14ac:dyDescent="0.15">
      <c r="A166" s="2"/>
      <c r="B166" s="2"/>
      <c r="C166" s="2"/>
      <c r="D166" s="2"/>
      <c r="E166" s="2"/>
      <c r="F166" s="2"/>
    </row>
    <row r="167" spans="1:6" ht="15.75" customHeight="1" x14ac:dyDescent="0.15">
      <c r="A167" s="2"/>
      <c r="B167" s="2"/>
      <c r="C167" s="2"/>
      <c r="D167" s="2"/>
      <c r="E167" s="2"/>
      <c r="F167" s="2"/>
    </row>
    <row r="168" spans="1:6" ht="15.75" customHeight="1" x14ac:dyDescent="0.15">
      <c r="A168" s="2"/>
      <c r="B168" s="2"/>
      <c r="C168" s="2"/>
      <c r="D168" s="2"/>
      <c r="E168" s="2"/>
      <c r="F168" s="2"/>
    </row>
    <row r="169" spans="1:6" ht="15.75" customHeight="1" x14ac:dyDescent="0.15">
      <c r="A169" s="2"/>
      <c r="B169" s="2"/>
      <c r="C169" s="2"/>
      <c r="D169" s="2"/>
      <c r="E169" s="2"/>
      <c r="F169" s="2"/>
    </row>
    <row r="170" spans="1:6" ht="15.75" customHeight="1" x14ac:dyDescent="0.15">
      <c r="A170" s="2"/>
      <c r="B170" s="2"/>
      <c r="C170" s="2"/>
      <c r="D170" s="2"/>
      <c r="E170" s="2"/>
      <c r="F170" s="2"/>
    </row>
    <row r="171" spans="1:6" ht="15.75" customHeight="1" x14ac:dyDescent="0.15">
      <c r="A171" s="2"/>
      <c r="B171" s="2"/>
      <c r="C171" s="2"/>
      <c r="D171" s="2"/>
      <c r="E171" s="2"/>
      <c r="F171" s="2"/>
    </row>
    <row r="172" spans="1:6" ht="15.75" customHeight="1" x14ac:dyDescent="0.15">
      <c r="A172" s="2"/>
      <c r="B172" s="2"/>
      <c r="C172" s="2"/>
      <c r="D172" s="2"/>
      <c r="E172" s="2"/>
      <c r="F172" s="2"/>
    </row>
    <row r="173" spans="1:6" ht="15.75" customHeight="1" x14ac:dyDescent="0.15">
      <c r="A173" s="2"/>
      <c r="B173" s="2"/>
      <c r="C173" s="2"/>
      <c r="D173" s="2"/>
      <c r="E173" s="2"/>
      <c r="F173" s="2"/>
    </row>
    <row r="174" spans="1:6" ht="15.75" customHeight="1" x14ac:dyDescent="0.15">
      <c r="A174" s="2"/>
      <c r="B174" s="2"/>
      <c r="C174" s="2"/>
      <c r="D174" s="2"/>
      <c r="E174" s="2"/>
      <c r="F174" s="2"/>
    </row>
    <row r="175" spans="1:6" ht="15.75" customHeight="1" x14ac:dyDescent="0.15">
      <c r="A175" s="2"/>
      <c r="B175" s="2"/>
      <c r="C175" s="2"/>
      <c r="D175" s="2"/>
      <c r="E175" s="2"/>
      <c r="F175" s="2"/>
    </row>
    <row r="176" spans="1:6" ht="15.75" customHeight="1" x14ac:dyDescent="0.15">
      <c r="A176" s="2"/>
      <c r="B176" s="2"/>
      <c r="C176" s="2"/>
      <c r="D176" s="2"/>
      <c r="E176" s="2"/>
      <c r="F176" s="2"/>
    </row>
    <row r="177" spans="1:6" ht="15.75" customHeight="1" x14ac:dyDescent="0.15">
      <c r="A177" s="2"/>
      <c r="B177" s="2"/>
      <c r="C177" s="2"/>
      <c r="D177" s="2"/>
      <c r="E177" s="2"/>
      <c r="F177" s="2"/>
    </row>
    <row r="178" spans="1:6" ht="15.75" customHeight="1" x14ac:dyDescent="0.15">
      <c r="A178" s="2"/>
      <c r="B178" s="2"/>
      <c r="C178" s="2"/>
      <c r="D178" s="2"/>
      <c r="E178" s="2"/>
      <c r="F178" s="2"/>
    </row>
    <row r="179" spans="1:6" ht="15.75" customHeight="1" x14ac:dyDescent="0.15">
      <c r="A179" s="2"/>
      <c r="B179" s="2"/>
      <c r="C179" s="2"/>
      <c r="D179" s="2"/>
      <c r="E179" s="2"/>
      <c r="F179" s="2"/>
    </row>
    <row r="180" spans="1:6" ht="15.75" customHeight="1" x14ac:dyDescent="0.15">
      <c r="A180" s="2"/>
      <c r="B180" s="2"/>
      <c r="C180" s="2"/>
      <c r="D180" s="2"/>
      <c r="E180" s="2"/>
      <c r="F180" s="2"/>
    </row>
    <row r="181" spans="1:6" ht="15.75" customHeight="1" x14ac:dyDescent="0.15">
      <c r="A181" s="2"/>
      <c r="B181" s="2"/>
      <c r="C181" s="2"/>
      <c r="D181" s="2"/>
      <c r="E181" s="2"/>
      <c r="F181" s="2"/>
    </row>
    <row r="182" spans="1:6" ht="15.75" customHeight="1" x14ac:dyDescent="0.15">
      <c r="A182" s="2"/>
      <c r="B182" s="2"/>
      <c r="C182" s="2"/>
      <c r="D182" s="2"/>
      <c r="E182" s="2"/>
      <c r="F182" s="2"/>
    </row>
    <row r="183" spans="1:6" ht="15.75" customHeight="1" x14ac:dyDescent="0.15">
      <c r="A183" s="2"/>
      <c r="B183" s="2"/>
      <c r="C183" s="2"/>
      <c r="D183" s="2"/>
      <c r="E183" s="2"/>
      <c r="F183" s="2"/>
    </row>
    <row r="184" spans="1:6" ht="15.75" customHeight="1" x14ac:dyDescent="0.15">
      <c r="A184" s="2"/>
      <c r="B184" s="2"/>
      <c r="C184" s="2"/>
      <c r="D184" s="2"/>
      <c r="E184" s="2"/>
      <c r="F184" s="2"/>
    </row>
    <row r="185" spans="1:6" ht="15.75" customHeight="1" x14ac:dyDescent="0.15">
      <c r="A185" s="2"/>
      <c r="B185" s="2"/>
      <c r="C185" s="2"/>
      <c r="D185" s="2"/>
      <c r="E185" s="2"/>
      <c r="F185" s="2"/>
    </row>
    <row r="186" spans="1:6" ht="15.75" customHeight="1" x14ac:dyDescent="0.15">
      <c r="A186" s="2"/>
      <c r="B186" s="2"/>
      <c r="C186" s="2"/>
      <c r="D186" s="2"/>
      <c r="E186" s="2"/>
      <c r="F186" s="2"/>
    </row>
    <row r="187" spans="1:6" ht="15.75" customHeight="1" x14ac:dyDescent="0.15">
      <c r="A187" s="2"/>
      <c r="B187" s="2"/>
      <c r="C187" s="2"/>
      <c r="D187" s="2"/>
      <c r="E187" s="2"/>
      <c r="F187" s="2"/>
    </row>
    <row r="188" spans="1:6" ht="15.75" customHeight="1" x14ac:dyDescent="0.15">
      <c r="A188" s="2"/>
      <c r="B188" s="2"/>
      <c r="C188" s="2"/>
      <c r="D188" s="2"/>
      <c r="E188" s="2"/>
      <c r="F188" s="2"/>
    </row>
    <row r="189" spans="1:6" ht="15.75" customHeight="1" x14ac:dyDescent="0.15">
      <c r="A189" s="2"/>
      <c r="B189" s="2"/>
      <c r="C189" s="2"/>
      <c r="D189" s="2"/>
      <c r="E189" s="2"/>
      <c r="F189" s="2"/>
    </row>
    <row r="190" spans="1:6" ht="15.75" customHeight="1" x14ac:dyDescent="0.15">
      <c r="A190" s="2"/>
      <c r="B190" s="2"/>
      <c r="C190" s="2"/>
      <c r="D190" s="2"/>
      <c r="E190" s="2"/>
      <c r="F190" s="2"/>
    </row>
    <row r="191" spans="1:6" ht="15.75" customHeight="1" x14ac:dyDescent="0.15">
      <c r="A191" s="2"/>
      <c r="B191" s="2"/>
      <c r="C191" s="2"/>
      <c r="D191" s="2"/>
      <c r="E191" s="2"/>
      <c r="F191" s="2"/>
    </row>
    <row r="192" spans="1:6" ht="15.75" customHeight="1" x14ac:dyDescent="0.15">
      <c r="A192" s="2"/>
      <c r="B192" s="2"/>
      <c r="C192" s="2"/>
      <c r="D192" s="2"/>
      <c r="E192" s="2"/>
      <c r="F192" s="2"/>
    </row>
    <row r="193" spans="1:6" ht="15.75" customHeight="1" x14ac:dyDescent="0.15">
      <c r="A193" s="2"/>
      <c r="B193" s="2"/>
      <c r="C193" s="2"/>
      <c r="D193" s="2"/>
      <c r="E193" s="2"/>
      <c r="F193" s="2"/>
    </row>
    <row r="194" spans="1:6" ht="15.75" customHeight="1" x14ac:dyDescent="0.15">
      <c r="A194" s="2"/>
      <c r="B194" s="2"/>
      <c r="C194" s="2"/>
      <c r="D194" s="2"/>
      <c r="E194" s="2"/>
      <c r="F194" s="2"/>
    </row>
    <row r="195" spans="1:6" ht="15.75" customHeight="1" x14ac:dyDescent="0.15">
      <c r="A195" s="2"/>
      <c r="B195" s="2"/>
      <c r="C195" s="2"/>
      <c r="D195" s="2"/>
      <c r="E195" s="2"/>
      <c r="F195" s="2"/>
    </row>
    <row r="196" spans="1:6" ht="15.75" customHeight="1" x14ac:dyDescent="0.15">
      <c r="A196" s="2"/>
      <c r="B196" s="2"/>
      <c r="C196" s="2"/>
      <c r="D196" s="2"/>
      <c r="E196" s="2"/>
      <c r="F196" s="2"/>
    </row>
    <row r="197" spans="1:6" ht="15.75" customHeight="1" x14ac:dyDescent="0.15">
      <c r="A197" s="2"/>
      <c r="B197" s="2"/>
      <c r="C197" s="2"/>
      <c r="D197" s="2"/>
      <c r="E197" s="2"/>
      <c r="F197" s="2"/>
    </row>
    <row r="198" spans="1:6" ht="15.75" customHeight="1" x14ac:dyDescent="0.15">
      <c r="A198" s="2"/>
      <c r="B198" s="2"/>
      <c r="C198" s="2"/>
      <c r="D198" s="2"/>
      <c r="E198" s="2"/>
      <c r="F198" s="2"/>
    </row>
    <row r="199" spans="1:6" ht="15.75" customHeight="1" x14ac:dyDescent="0.15">
      <c r="A199" s="2"/>
      <c r="B199" s="2"/>
      <c r="C199" s="2"/>
      <c r="D199" s="2"/>
      <c r="E199" s="2"/>
      <c r="F199" s="2"/>
    </row>
    <row r="200" spans="1:6" ht="15.75" customHeight="1" x14ac:dyDescent="0.15">
      <c r="A200" s="2"/>
      <c r="B200" s="2"/>
      <c r="C200" s="2"/>
      <c r="D200" s="2"/>
      <c r="E200" s="2"/>
      <c r="F200" s="2"/>
    </row>
    <row r="201" spans="1:6" ht="15.75" customHeight="1" x14ac:dyDescent="0.15">
      <c r="A201" s="2"/>
      <c r="B201" s="2"/>
      <c r="C201" s="2"/>
      <c r="D201" s="2"/>
      <c r="E201" s="2"/>
      <c r="F201" s="2"/>
    </row>
    <row r="202" spans="1:6" ht="15.75" customHeight="1" x14ac:dyDescent="0.15">
      <c r="A202" s="2"/>
      <c r="B202" s="2"/>
      <c r="C202" s="2"/>
      <c r="D202" s="2"/>
      <c r="E202" s="2"/>
      <c r="F202" s="2"/>
    </row>
    <row r="203" spans="1:6" ht="15.75" customHeight="1" x14ac:dyDescent="0.15">
      <c r="A203" s="2"/>
      <c r="B203" s="2"/>
      <c r="C203" s="2"/>
      <c r="D203" s="2"/>
      <c r="E203" s="2"/>
      <c r="F203" s="2"/>
    </row>
    <row r="204" spans="1:6" ht="15.75" customHeight="1" x14ac:dyDescent="0.15">
      <c r="A204" s="2"/>
      <c r="B204" s="2"/>
      <c r="C204" s="2"/>
      <c r="D204" s="2"/>
      <c r="E204" s="2"/>
      <c r="F204" s="2"/>
    </row>
    <row r="205" spans="1:6" ht="15.75" customHeight="1" x14ac:dyDescent="0.15">
      <c r="A205" s="2"/>
      <c r="B205" s="2"/>
      <c r="C205" s="2"/>
      <c r="D205" s="2"/>
      <c r="E205" s="2"/>
      <c r="F205" s="2"/>
    </row>
    <row r="206" spans="1:6" ht="15.75" customHeight="1" x14ac:dyDescent="0.15">
      <c r="A206" s="2"/>
      <c r="B206" s="2"/>
      <c r="C206" s="2"/>
      <c r="D206" s="2"/>
      <c r="E206" s="2"/>
      <c r="F206" s="2"/>
    </row>
    <row r="207" spans="1:6" ht="15.75" customHeight="1" x14ac:dyDescent="0.15">
      <c r="A207" s="2"/>
      <c r="B207" s="2"/>
      <c r="C207" s="2"/>
      <c r="D207" s="2"/>
      <c r="E207" s="2"/>
      <c r="F207" s="2"/>
    </row>
    <row r="208" spans="1:6" ht="15.75" customHeight="1" x14ac:dyDescent="0.15">
      <c r="A208" s="2"/>
      <c r="B208" s="2"/>
      <c r="C208" s="2"/>
      <c r="D208" s="2"/>
      <c r="E208" s="2"/>
      <c r="F208" s="2"/>
    </row>
    <row r="209" spans="1:6" ht="15.75" customHeight="1" x14ac:dyDescent="0.15">
      <c r="A209" s="2"/>
      <c r="B209" s="2"/>
      <c r="C209" s="2"/>
      <c r="D209" s="2"/>
      <c r="E209" s="2"/>
      <c r="F209" s="2"/>
    </row>
    <row r="210" spans="1:6" ht="15.75" customHeight="1" x14ac:dyDescent="0.15">
      <c r="A210" s="2"/>
      <c r="B210" s="2"/>
      <c r="C210" s="2"/>
      <c r="D210" s="2"/>
      <c r="E210" s="2"/>
      <c r="F210" s="2"/>
    </row>
    <row r="211" spans="1:6" ht="15.75" customHeight="1" x14ac:dyDescent="0.15">
      <c r="A211" s="2"/>
      <c r="B211" s="2"/>
      <c r="C211" s="2"/>
      <c r="D211" s="2"/>
      <c r="E211" s="2"/>
      <c r="F211" s="2"/>
    </row>
    <row r="212" spans="1:6" ht="15.75" customHeight="1" x14ac:dyDescent="0.15">
      <c r="A212" s="2"/>
      <c r="B212" s="2"/>
      <c r="C212" s="2"/>
      <c r="D212" s="2"/>
      <c r="E212" s="2"/>
      <c r="F212" s="2"/>
    </row>
    <row r="213" spans="1:6" ht="15.75" customHeight="1" x14ac:dyDescent="0.15">
      <c r="A213" s="2"/>
      <c r="B213" s="2"/>
      <c r="C213" s="2"/>
      <c r="D213" s="2"/>
      <c r="E213" s="2"/>
      <c r="F213" s="2"/>
    </row>
    <row r="214" spans="1:6" ht="15.75" customHeight="1" x14ac:dyDescent="0.15">
      <c r="A214" s="2"/>
      <c r="B214" s="2"/>
      <c r="C214" s="2"/>
      <c r="D214" s="2"/>
      <c r="E214" s="2"/>
      <c r="F214" s="2"/>
    </row>
    <row r="215" spans="1:6" ht="15.75" customHeight="1" x14ac:dyDescent="0.15">
      <c r="A215" s="2"/>
      <c r="B215" s="2"/>
      <c r="C215" s="2"/>
      <c r="D215" s="2"/>
      <c r="E215" s="2"/>
      <c r="F215" s="2"/>
    </row>
    <row r="216" spans="1:6" ht="15.75" customHeight="1" x14ac:dyDescent="0.15">
      <c r="A216" s="2"/>
      <c r="B216" s="2"/>
      <c r="C216" s="2"/>
      <c r="D216" s="2"/>
      <c r="E216" s="2"/>
      <c r="F216" s="2"/>
    </row>
    <row r="217" spans="1:6" ht="15.75" customHeight="1" x14ac:dyDescent="0.15">
      <c r="A217" s="2"/>
      <c r="B217" s="2"/>
      <c r="C217" s="2"/>
      <c r="D217" s="2"/>
      <c r="E217" s="2"/>
      <c r="F217" s="2"/>
    </row>
    <row r="218" spans="1:6" ht="15.75" customHeight="1" x14ac:dyDescent="0.15">
      <c r="A218" s="2"/>
      <c r="B218" s="2"/>
      <c r="C218" s="2"/>
      <c r="D218" s="2"/>
      <c r="E218" s="2"/>
      <c r="F218" s="2"/>
    </row>
    <row r="219" spans="1:6" ht="15.75" customHeight="1" x14ac:dyDescent="0.15">
      <c r="A219" s="2"/>
      <c r="B219" s="2"/>
      <c r="C219" s="2"/>
      <c r="D219" s="2"/>
      <c r="E219" s="2"/>
      <c r="F219" s="2"/>
    </row>
    <row r="220" spans="1:6" ht="15.75" customHeight="1" x14ac:dyDescent="0.15">
      <c r="A220" s="2"/>
      <c r="B220" s="2"/>
      <c r="C220" s="2"/>
      <c r="D220" s="2"/>
      <c r="E220" s="2"/>
      <c r="F220" s="2"/>
    </row>
    <row r="221" spans="1:6" ht="15.75" customHeight="1" x14ac:dyDescent="0.15">
      <c r="A221" s="2"/>
      <c r="B221" s="2"/>
      <c r="C221" s="2"/>
      <c r="D221" s="2"/>
      <c r="E221" s="2"/>
      <c r="F221" s="2"/>
    </row>
    <row r="222" spans="1:6" ht="15.75" customHeight="1" x14ac:dyDescent="0.15">
      <c r="A222" s="2"/>
      <c r="B222" s="2"/>
      <c r="C222" s="2"/>
      <c r="D222" s="2"/>
      <c r="E222" s="2"/>
      <c r="F222" s="2"/>
    </row>
    <row r="223" spans="1:6" ht="15.75" customHeight="1" x14ac:dyDescent="0.15">
      <c r="A223" s="2"/>
      <c r="B223" s="2"/>
      <c r="C223" s="2"/>
      <c r="D223" s="2"/>
      <c r="E223" s="2"/>
      <c r="F223" s="2"/>
    </row>
    <row r="224" spans="1:6" ht="15.75" customHeight="1" x14ac:dyDescent="0.15">
      <c r="A224" s="2"/>
      <c r="B224" s="2"/>
      <c r="C224" s="2"/>
      <c r="D224" s="2"/>
      <c r="E224" s="2"/>
      <c r="F224" s="2"/>
    </row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O894"/>
  <sheetViews>
    <sheetView showGridLines="0" workbookViewId="0"/>
  </sheetViews>
  <sheetFormatPr baseColWidth="10" defaultColWidth="14.5" defaultRowHeight="15" customHeight="1" x14ac:dyDescent="0.15"/>
  <cols>
    <col min="1" max="1" width="0.5" customWidth="1"/>
    <col min="2" max="2" width="1.6640625" customWidth="1"/>
    <col min="3" max="3" width="3.5" customWidth="1"/>
    <col min="4" max="4" width="11.5" customWidth="1"/>
    <col min="5" max="5" width="58.1640625" customWidth="1"/>
    <col min="6" max="6" width="20.6640625" customWidth="1"/>
    <col min="7" max="7" width="20.33203125" customWidth="1"/>
    <col min="8" max="8" width="6.83203125" customWidth="1"/>
    <col min="9" max="9" width="21.83203125" customWidth="1"/>
    <col min="10" max="10" width="6.83203125" customWidth="1"/>
    <col min="11" max="11" width="6.6640625" customWidth="1"/>
    <col min="12" max="12" width="7.83203125" customWidth="1"/>
    <col min="13" max="13" width="28.6640625" customWidth="1"/>
    <col min="14" max="14" width="23" customWidth="1"/>
  </cols>
  <sheetData>
    <row r="1" spans="1:15" ht="9" customHeight="1" x14ac:dyDescent="0.2">
      <c r="A1" s="89" t="s">
        <v>143</v>
      </c>
      <c r="B1" s="2"/>
      <c r="C1" s="3"/>
      <c r="D1" s="5"/>
      <c r="E1" s="6"/>
      <c r="F1" s="7"/>
      <c r="G1" s="7"/>
      <c r="H1" s="7"/>
      <c r="I1" s="7"/>
      <c r="J1" s="7"/>
      <c r="K1" s="90"/>
      <c r="L1" s="8"/>
      <c r="M1" s="9"/>
      <c r="N1" s="10"/>
    </row>
    <row r="2" spans="1:15" ht="15.75" customHeight="1" x14ac:dyDescent="0.2">
      <c r="A2" s="1"/>
      <c r="B2" s="2"/>
      <c r="C2" s="12" t="s">
        <v>146</v>
      </c>
      <c r="D2" s="5"/>
      <c r="E2" s="6"/>
      <c r="F2" s="7"/>
      <c r="G2" s="7"/>
      <c r="H2" s="7"/>
      <c r="I2" s="7"/>
      <c r="J2" s="7"/>
      <c r="K2" s="90"/>
      <c r="L2" s="8"/>
      <c r="M2" s="9"/>
      <c r="N2" s="10"/>
    </row>
    <row r="3" spans="1:15" ht="15.75" customHeight="1" x14ac:dyDescent="0.15">
      <c r="A3" s="2"/>
      <c r="B3" s="2"/>
      <c r="C3" s="2"/>
      <c r="D3" s="11"/>
      <c r="E3" s="70"/>
      <c r="F3" s="33"/>
      <c r="G3" s="33"/>
      <c r="H3" s="33"/>
      <c r="I3" s="33"/>
      <c r="J3" s="33"/>
      <c r="K3" s="90"/>
      <c r="L3" s="8"/>
      <c r="M3" s="9"/>
      <c r="N3" s="10"/>
    </row>
    <row r="4" spans="1:15" ht="15.75" customHeight="1" x14ac:dyDescent="0.15">
      <c r="A4" s="2"/>
      <c r="B4" s="2"/>
      <c r="C4" s="2"/>
      <c r="D4" s="79" t="s">
        <v>148</v>
      </c>
      <c r="E4" s="93"/>
      <c r="F4" s="94"/>
      <c r="G4" s="94"/>
      <c r="H4" s="94"/>
      <c r="I4" s="94"/>
      <c r="J4" s="94"/>
      <c r="K4" s="90"/>
      <c r="L4" s="8"/>
      <c r="M4" s="9"/>
      <c r="N4" s="10"/>
    </row>
    <row r="5" spans="1:15" ht="5.25" customHeight="1" x14ac:dyDescent="0.15">
      <c r="A5" s="2"/>
      <c r="B5" s="2"/>
      <c r="C5" s="2"/>
      <c r="D5" s="4"/>
      <c r="E5" s="14"/>
      <c r="F5" s="33"/>
      <c r="G5" s="33"/>
      <c r="H5" s="33"/>
      <c r="I5" s="33"/>
      <c r="J5" s="33"/>
      <c r="K5" s="90"/>
      <c r="L5" s="8"/>
      <c r="M5" s="9"/>
      <c r="N5" s="10"/>
    </row>
    <row r="6" spans="1:15" ht="15.75" customHeight="1" x14ac:dyDescent="0.15">
      <c r="A6" s="2"/>
      <c r="B6" s="2"/>
      <c r="C6" s="2"/>
      <c r="D6" s="4"/>
      <c r="E6" s="97" t="s">
        <v>150</v>
      </c>
      <c r="F6" s="99">
        <f>F11*(1-SPARE)</f>
        <v>1866.24</v>
      </c>
      <c r="G6" s="33"/>
      <c r="H6" s="33"/>
      <c r="I6" s="101"/>
      <c r="J6" s="33"/>
      <c r="K6" s="102"/>
      <c r="L6" s="103"/>
      <c r="M6" s="104"/>
      <c r="N6" s="10"/>
    </row>
    <row r="7" spans="1:15" ht="6.75" customHeight="1" x14ac:dyDescent="0.15">
      <c r="A7" s="2"/>
      <c r="B7" s="2"/>
      <c r="C7" s="2"/>
      <c r="D7" s="4"/>
      <c r="E7" s="14"/>
      <c r="F7" s="33"/>
      <c r="G7" s="33"/>
      <c r="H7" s="33"/>
      <c r="I7" s="33"/>
      <c r="J7" s="33"/>
      <c r="K7" s="90"/>
      <c r="L7" s="8"/>
      <c r="M7" s="10"/>
      <c r="N7" s="10"/>
    </row>
    <row r="8" spans="1:15" ht="6.75" customHeight="1" x14ac:dyDescent="0.15">
      <c r="A8" s="2"/>
      <c r="B8" s="2"/>
      <c r="C8" s="2"/>
      <c r="D8" s="4"/>
      <c r="E8" s="36" t="s">
        <v>152</v>
      </c>
      <c r="F8" s="33">
        <f>TOT_CORES</f>
        <v>1166.4000000000001</v>
      </c>
      <c r="G8" s="33" t="s">
        <v>153</v>
      </c>
      <c r="H8" s="33"/>
      <c r="I8" s="92"/>
      <c r="J8" s="33"/>
      <c r="K8" s="90"/>
      <c r="L8" s="8"/>
      <c r="M8" s="10"/>
      <c r="N8" s="10"/>
    </row>
    <row r="9" spans="1:15" ht="15.75" customHeight="1" x14ac:dyDescent="0.15">
      <c r="A9" s="2"/>
      <c r="B9" s="2"/>
      <c r="C9" s="2"/>
      <c r="D9" s="4"/>
      <c r="E9" s="36" t="s">
        <v>155</v>
      </c>
      <c r="F9" s="33">
        <f>TOT_PASSMARK*0.8</f>
        <v>0</v>
      </c>
      <c r="G9" s="33" t="s">
        <v>157</v>
      </c>
      <c r="H9" s="33"/>
      <c r="I9" s="33"/>
      <c r="J9" s="33"/>
      <c r="K9" s="90"/>
      <c r="L9" s="8"/>
      <c r="M9" s="10"/>
      <c r="N9" s="10"/>
    </row>
    <row r="10" spans="1:15" ht="15.75" customHeight="1" x14ac:dyDescent="0.15">
      <c r="A10" s="2"/>
      <c r="B10" s="2"/>
      <c r="C10" s="2"/>
      <c r="D10" s="4"/>
      <c r="E10" s="36" t="s">
        <v>158</v>
      </c>
      <c r="F10" s="33">
        <f>TOT_MEM</f>
        <v>8294.4</v>
      </c>
      <c r="G10" s="33" t="s">
        <v>7</v>
      </c>
      <c r="H10" s="33"/>
      <c r="I10" s="109"/>
      <c r="J10" s="33"/>
      <c r="K10" s="102"/>
      <c r="L10" s="8"/>
      <c r="M10" s="10"/>
      <c r="N10" s="10"/>
    </row>
    <row r="11" spans="1:15" ht="15.75" customHeight="1" x14ac:dyDescent="0.15">
      <c r="A11" s="2"/>
      <c r="B11" s="2"/>
      <c r="C11" s="2"/>
      <c r="D11" s="4"/>
      <c r="E11" s="36" t="s">
        <v>161</v>
      </c>
      <c r="F11" s="33">
        <f>TOT_MEM/4</f>
        <v>2073.6</v>
      </c>
      <c r="G11" s="33" t="s">
        <v>163</v>
      </c>
      <c r="H11" s="33"/>
      <c r="I11" s="33"/>
      <c r="J11" s="33"/>
      <c r="K11" s="90"/>
      <c r="L11" s="8"/>
      <c r="M11" s="10"/>
      <c r="N11" s="10"/>
    </row>
    <row r="12" spans="1:15" ht="15.75" customHeight="1" x14ac:dyDescent="0.15">
      <c r="A12" s="2"/>
      <c r="B12" s="2"/>
      <c r="C12" s="2"/>
      <c r="D12" s="4"/>
      <c r="E12" s="110" t="s">
        <v>164</v>
      </c>
      <c r="F12" s="92">
        <f>IF(F11&gt;0,F8/F6*4,"NA")</f>
        <v>2.5</v>
      </c>
      <c r="G12" s="33" t="s">
        <v>153</v>
      </c>
      <c r="H12" s="33"/>
      <c r="I12" s="33"/>
      <c r="J12" s="33"/>
      <c r="K12" s="90"/>
      <c r="L12" s="8"/>
      <c r="M12" s="10"/>
      <c r="N12" s="10"/>
    </row>
    <row r="13" spans="1:15" ht="15.75" hidden="1" customHeight="1" x14ac:dyDescent="0.15">
      <c r="A13" s="2"/>
      <c r="B13" s="2"/>
      <c r="C13" s="2"/>
      <c r="D13" s="4"/>
      <c r="E13" s="36" t="s">
        <v>171</v>
      </c>
      <c r="F13" s="33">
        <f>IF(F11&gt;0,F9/F11*4,0)</f>
        <v>0</v>
      </c>
      <c r="G13" s="33" t="s">
        <v>157</v>
      </c>
      <c r="H13" s="33"/>
      <c r="I13" s="33"/>
      <c r="J13" s="33"/>
      <c r="K13" s="90"/>
      <c r="L13" s="8"/>
      <c r="M13" s="10"/>
      <c r="N13" s="10"/>
    </row>
    <row r="14" spans="1:15" ht="15.75" hidden="1" customHeight="1" x14ac:dyDescent="0.15">
      <c r="A14" s="2"/>
      <c r="B14" s="2"/>
      <c r="C14" s="2"/>
      <c r="D14" s="4"/>
      <c r="E14" s="36" t="s">
        <v>172</v>
      </c>
      <c r="F14" s="33">
        <f>F13/4</f>
        <v>0</v>
      </c>
      <c r="G14" s="33" t="s">
        <v>157</v>
      </c>
      <c r="H14" s="33"/>
      <c r="I14" s="33"/>
      <c r="J14" s="33"/>
      <c r="K14" s="90"/>
      <c r="L14" s="8"/>
      <c r="M14" s="10"/>
      <c r="N14" s="10"/>
    </row>
    <row r="15" spans="1:15" ht="15.75" customHeight="1" x14ac:dyDescent="0.15">
      <c r="A15" s="2"/>
      <c r="B15" s="2"/>
      <c r="C15" s="2"/>
      <c r="D15" s="4"/>
      <c r="E15" s="36"/>
      <c r="F15" s="33"/>
      <c r="G15" s="33"/>
      <c r="H15" s="33"/>
      <c r="I15" s="33"/>
      <c r="J15" s="33"/>
      <c r="K15" s="90"/>
      <c r="L15" s="8"/>
      <c r="M15" s="9"/>
      <c r="N15" s="111"/>
    </row>
    <row r="16" spans="1:15" ht="15.75" customHeight="1" x14ac:dyDescent="0.15">
      <c r="A16" s="2"/>
      <c r="B16" s="2"/>
      <c r="C16" s="2"/>
      <c r="D16" s="79" t="s">
        <v>174</v>
      </c>
      <c r="E16" s="93"/>
      <c r="F16" s="94"/>
      <c r="G16" s="94"/>
      <c r="H16" s="94"/>
      <c r="I16" s="94"/>
      <c r="J16" s="33"/>
      <c r="K16" s="90"/>
      <c r="L16" s="8"/>
      <c r="M16" s="10"/>
      <c r="N16" s="10"/>
      <c r="O16" s="10"/>
    </row>
    <row r="17" spans="1:15" ht="8.25" customHeight="1" x14ac:dyDescent="0.15">
      <c r="A17" s="2"/>
      <c r="B17" s="2"/>
      <c r="C17" s="2"/>
      <c r="D17" s="4"/>
      <c r="E17" s="14"/>
      <c r="F17" s="33"/>
      <c r="G17" s="33"/>
      <c r="H17" s="33"/>
      <c r="I17" s="33"/>
      <c r="J17" s="33"/>
      <c r="K17" s="90"/>
      <c r="L17" s="8"/>
      <c r="M17" s="10"/>
      <c r="N17" s="10"/>
      <c r="O17" s="10"/>
    </row>
    <row r="18" spans="1:15" ht="15.75" customHeight="1" x14ac:dyDescent="0.15">
      <c r="A18" s="2"/>
      <c r="B18" s="2"/>
      <c r="C18" s="2"/>
      <c r="D18" s="4"/>
      <c r="E18" s="97" t="s">
        <v>176</v>
      </c>
      <c r="F18" s="99">
        <f>F20*(1-SPARE)*2</f>
        <v>1152</v>
      </c>
      <c r="G18" s="33"/>
      <c r="H18" s="33"/>
      <c r="I18" s="101"/>
      <c r="J18" s="33"/>
      <c r="K18" s="102"/>
      <c r="L18" s="103"/>
      <c r="M18" s="112"/>
      <c r="N18" s="10"/>
    </row>
    <row r="19" spans="1:15" ht="8.25" customHeight="1" x14ac:dyDescent="0.15">
      <c r="A19" s="2"/>
      <c r="B19" s="2"/>
      <c r="C19" s="2"/>
      <c r="D19" s="4"/>
      <c r="E19" s="14"/>
      <c r="F19" s="33"/>
      <c r="G19" s="33"/>
      <c r="H19" s="33"/>
      <c r="I19" s="33"/>
      <c r="J19" s="33"/>
      <c r="K19" s="90"/>
      <c r="L19" s="8"/>
      <c r="M19" s="9"/>
      <c r="N19" s="10"/>
    </row>
    <row r="20" spans="1:15" ht="8.25" customHeight="1" x14ac:dyDescent="0.15">
      <c r="A20" s="2"/>
      <c r="B20" s="2"/>
      <c r="C20" s="2"/>
      <c r="D20" s="4"/>
      <c r="E20" s="34" t="s">
        <v>178</v>
      </c>
      <c r="F20" s="33">
        <f>TOT_STOR</f>
        <v>640</v>
      </c>
      <c r="G20" s="33" t="s">
        <v>28</v>
      </c>
      <c r="H20" s="33"/>
      <c r="I20" s="33"/>
      <c r="J20" s="33"/>
      <c r="K20" s="90"/>
      <c r="L20" s="8"/>
      <c r="M20" s="9"/>
      <c r="N20" s="10"/>
    </row>
    <row r="21" spans="1:15" ht="8.25" customHeight="1" x14ac:dyDescent="0.15">
      <c r="A21" s="2"/>
      <c r="B21" s="2"/>
      <c r="C21" s="2"/>
      <c r="D21" s="4"/>
      <c r="E21" s="36" t="s">
        <v>181</v>
      </c>
      <c r="F21" s="114">
        <f>F20/F11*2</f>
        <v>0.61728395061728403</v>
      </c>
      <c r="G21" s="33" t="s">
        <v>28</v>
      </c>
      <c r="H21" s="33"/>
      <c r="I21" s="92"/>
      <c r="J21" s="33"/>
      <c r="K21" s="90"/>
      <c r="L21" s="8"/>
      <c r="M21" s="112"/>
      <c r="N21" s="10"/>
    </row>
    <row r="22" spans="1:15" ht="15.75" customHeight="1" x14ac:dyDescent="0.15">
      <c r="A22" s="2"/>
      <c r="B22" s="2"/>
      <c r="C22" s="11"/>
      <c r="D22" s="4"/>
      <c r="E22" s="36"/>
      <c r="F22" s="33"/>
      <c r="G22" s="33"/>
      <c r="H22" s="33"/>
      <c r="I22" s="33"/>
      <c r="J22" s="33"/>
      <c r="K22" s="90"/>
      <c r="L22" s="8"/>
      <c r="M22" s="9"/>
      <c r="N22" s="10"/>
    </row>
    <row r="23" spans="1:15" ht="15.75" customHeight="1" x14ac:dyDescent="0.15">
      <c r="A23" s="2"/>
      <c r="B23" s="2"/>
      <c r="C23" s="2"/>
      <c r="D23" s="79" t="s">
        <v>185</v>
      </c>
      <c r="E23" s="93"/>
      <c r="F23" s="94"/>
      <c r="G23" s="94"/>
      <c r="H23" s="94"/>
      <c r="I23" s="94"/>
      <c r="J23" s="33"/>
      <c r="K23" s="90"/>
      <c r="L23" s="8"/>
      <c r="M23" s="9"/>
      <c r="N23" s="10"/>
    </row>
    <row r="24" spans="1:15" ht="7.5" customHeight="1" x14ac:dyDescent="0.15">
      <c r="A24" s="2"/>
      <c r="B24" s="2"/>
      <c r="C24" s="2"/>
      <c r="D24" s="4"/>
      <c r="E24" s="14"/>
      <c r="F24" s="33"/>
      <c r="G24" s="33"/>
      <c r="H24" s="33"/>
      <c r="I24" s="33"/>
      <c r="J24" s="33"/>
      <c r="K24" s="90"/>
      <c r="L24" s="8"/>
      <c r="M24" s="9"/>
      <c r="N24" s="10"/>
    </row>
    <row r="25" spans="1:15" ht="15.75" customHeight="1" x14ac:dyDescent="0.15">
      <c r="A25" s="2"/>
      <c r="B25" s="2"/>
      <c r="C25" s="2"/>
      <c r="D25" s="4"/>
      <c r="E25" s="97" t="s">
        <v>186</v>
      </c>
      <c r="F25" s="99">
        <f>F28/400</f>
        <v>8000</v>
      </c>
      <c r="G25" s="33"/>
      <c r="H25" s="33"/>
      <c r="I25" s="115"/>
      <c r="J25" s="33"/>
      <c r="K25" s="102"/>
      <c r="L25" s="103"/>
      <c r="M25" s="112"/>
      <c r="N25" s="10"/>
    </row>
    <row r="26" spans="1:15" ht="9.75" customHeight="1" x14ac:dyDescent="0.15">
      <c r="A26" s="2"/>
      <c r="B26" s="2"/>
      <c r="C26" s="2"/>
      <c r="D26" s="4"/>
      <c r="E26" s="14"/>
      <c r="F26" s="33"/>
      <c r="G26" s="33"/>
      <c r="H26" s="33"/>
      <c r="I26" s="33"/>
      <c r="J26" s="33"/>
      <c r="K26" s="90"/>
      <c r="L26" s="8"/>
      <c r="M26" s="9"/>
      <c r="N26" s="10"/>
    </row>
    <row r="27" spans="1:15" ht="9.75" customHeight="1" x14ac:dyDescent="0.15">
      <c r="A27" s="2"/>
      <c r="B27" s="2"/>
      <c r="C27" s="2"/>
      <c r="D27" s="4"/>
      <c r="E27" s="110" t="s">
        <v>187</v>
      </c>
      <c r="F27" s="33">
        <f>MIN(CALCULATION!F15*100000,CALCULATION!E10*CALCULATION!E13*10000)</f>
        <v>800000</v>
      </c>
      <c r="G27" s="33" t="s">
        <v>188</v>
      </c>
      <c r="H27" s="33"/>
      <c r="I27" s="116"/>
      <c r="J27" s="33"/>
      <c r="K27" s="90"/>
      <c r="L27" s="8"/>
      <c r="M27" s="112"/>
      <c r="N27" s="10"/>
    </row>
    <row r="28" spans="1:15" ht="15.75" customHeight="1" x14ac:dyDescent="0.15">
      <c r="A28" s="2"/>
      <c r="B28" s="2"/>
      <c r="C28" s="2"/>
      <c r="D28" s="4"/>
      <c r="E28" s="34" t="s">
        <v>189</v>
      </c>
      <c r="F28" s="33">
        <f>F27*4</f>
        <v>3200000</v>
      </c>
      <c r="G28" s="33" t="s">
        <v>188</v>
      </c>
      <c r="H28" s="33"/>
      <c r="I28" s="33"/>
      <c r="J28" s="33"/>
      <c r="K28" s="90"/>
      <c r="L28" s="103"/>
      <c r="M28" s="112"/>
      <c r="N28" s="104"/>
    </row>
    <row r="29" spans="1:15" ht="9" customHeight="1" x14ac:dyDescent="0.15">
      <c r="A29" s="2"/>
      <c r="B29" s="2"/>
      <c r="C29" s="2"/>
      <c r="D29" s="4"/>
      <c r="E29" s="36"/>
      <c r="F29" s="33"/>
      <c r="G29" s="33"/>
      <c r="H29" s="33"/>
      <c r="I29" s="33"/>
      <c r="J29" s="33"/>
      <c r="K29" s="90"/>
      <c r="L29" s="103"/>
      <c r="M29" s="9"/>
      <c r="N29" s="10"/>
    </row>
    <row r="30" spans="1:15" ht="15.75" customHeight="1" x14ac:dyDescent="0.15">
      <c r="A30" s="2"/>
      <c r="B30" s="2"/>
      <c r="C30" s="2"/>
      <c r="D30" s="4"/>
      <c r="E30" s="36" t="s">
        <v>190</v>
      </c>
      <c r="F30" s="33">
        <f>IF(F11&gt;0,F28/F11*4,0)</f>
        <v>6172.8395061728397</v>
      </c>
      <c r="G30" s="33" t="s">
        <v>36</v>
      </c>
      <c r="H30" s="33"/>
      <c r="I30" s="33"/>
      <c r="J30" s="33"/>
      <c r="K30" s="90"/>
      <c r="L30" s="8"/>
      <c r="M30" s="9"/>
      <c r="N30" s="10"/>
    </row>
    <row r="31" spans="1:15" ht="15.75" customHeight="1" x14ac:dyDescent="0.15">
      <c r="A31" s="2"/>
      <c r="B31" s="2"/>
      <c r="C31" s="2"/>
      <c r="D31" s="4"/>
      <c r="E31" s="36" t="s">
        <v>191</v>
      </c>
      <c r="F31" s="33">
        <f>IF(F18&gt;0,F28/F18*4,"n/a")</f>
        <v>11111.111111111111</v>
      </c>
      <c r="G31" s="33" t="s">
        <v>192</v>
      </c>
      <c r="H31" s="33"/>
      <c r="I31" s="33"/>
      <c r="J31" s="33"/>
      <c r="K31" s="90"/>
      <c r="L31" s="8"/>
      <c r="M31" s="9"/>
      <c r="N31" s="10"/>
    </row>
    <row r="32" spans="1:15" ht="15.75" customHeight="1" x14ac:dyDescent="0.15">
      <c r="A32" s="2"/>
      <c r="B32" s="2"/>
      <c r="C32" s="2"/>
      <c r="D32" s="4"/>
      <c r="E32" s="36" t="s">
        <v>193</v>
      </c>
      <c r="F32" s="33">
        <f>F27/F11</f>
        <v>385.80246913580248</v>
      </c>
      <c r="G32" s="33" t="s">
        <v>36</v>
      </c>
      <c r="H32" s="33"/>
      <c r="I32" s="33"/>
      <c r="J32" s="33"/>
      <c r="K32" s="90"/>
      <c r="L32" s="8"/>
      <c r="M32" s="9"/>
      <c r="N32" s="10"/>
    </row>
    <row r="33" spans="1:14" ht="15.75" customHeight="1" x14ac:dyDescent="0.15">
      <c r="A33" s="2"/>
      <c r="B33" s="2"/>
      <c r="C33" s="2"/>
      <c r="D33" s="4"/>
      <c r="E33" s="36" t="s">
        <v>194</v>
      </c>
      <c r="F33" s="33">
        <f>IF(F18&gt;0,F27/F18,"n/a")</f>
        <v>694.44444444444446</v>
      </c>
      <c r="G33" s="33" t="s">
        <v>192</v>
      </c>
      <c r="H33" s="33"/>
      <c r="I33" s="33"/>
      <c r="J33" s="33"/>
      <c r="K33" s="90"/>
      <c r="L33" s="8"/>
      <c r="M33" s="9"/>
      <c r="N33" s="10"/>
    </row>
    <row r="34" spans="1:14" ht="15.75" hidden="1" customHeight="1" x14ac:dyDescent="0.15">
      <c r="A34" s="2"/>
      <c r="B34" s="2"/>
      <c r="C34" s="2"/>
      <c r="D34" s="4"/>
      <c r="E34" s="36" t="s">
        <v>195</v>
      </c>
      <c r="F34" s="33">
        <f>IF(F11&gt;0,CALCULATION!R65/F11,0)</f>
        <v>49.014814814814812</v>
      </c>
      <c r="G34" s="33" t="s">
        <v>196</v>
      </c>
      <c r="H34" s="33"/>
      <c r="I34" s="33"/>
      <c r="J34" s="33"/>
      <c r="K34" s="90"/>
      <c r="L34" s="8"/>
      <c r="M34" s="9"/>
      <c r="N34" s="10"/>
    </row>
    <row r="35" spans="1:14" ht="15.75" hidden="1" customHeight="1" x14ac:dyDescent="0.15">
      <c r="A35" s="2"/>
      <c r="B35" s="2"/>
      <c r="C35" s="2"/>
      <c r="D35" s="4"/>
      <c r="E35" s="36" t="s">
        <v>197</v>
      </c>
      <c r="F35" s="65" t="e">
        <f>#REF!/1024/F18</f>
        <v>#REF!</v>
      </c>
      <c r="G35" s="33"/>
      <c r="H35" s="33"/>
      <c r="I35" s="33"/>
      <c r="J35" s="33"/>
      <c r="K35" s="90"/>
      <c r="L35" s="8"/>
      <c r="M35" s="9"/>
      <c r="N35" s="10"/>
    </row>
    <row r="36" spans="1:14" ht="15.75" hidden="1" customHeight="1" x14ac:dyDescent="0.15">
      <c r="A36" s="2"/>
      <c r="B36" s="2"/>
      <c r="C36" s="2"/>
      <c r="D36" s="4"/>
      <c r="E36" s="36" t="s">
        <v>198</v>
      </c>
      <c r="F36" s="92">
        <f>F34/10</f>
        <v>4.9014814814814809</v>
      </c>
      <c r="G36" s="33" t="s">
        <v>199</v>
      </c>
      <c r="H36" s="33"/>
      <c r="I36" s="33"/>
      <c r="J36" s="33"/>
      <c r="K36" s="90"/>
      <c r="L36" s="8"/>
      <c r="M36" s="9"/>
      <c r="N36" s="10"/>
    </row>
    <row r="37" spans="1:14" ht="15.75" customHeight="1" x14ac:dyDescent="0.15">
      <c r="A37" s="2"/>
      <c r="B37" s="2"/>
      <c r="C37" s="11"/>
      <c r="D37" s="4"/>
      <c r="E37" s="110" t="s">
        <v>200</v>
      </c>
      <c r="F37" s="33">
        <f>F28/F18</f>
        <v>2777.7777777777778</v>
      </c>
      <c r="G37" s="33" t="s">
        <v>201</v>
      </c>
      <c r="H37" s="33"/>
      <c r="I37" s="33"/>
      <c r="J37" s="33"/>
      <c r="K37" s="90"/>
      <c r="L37" s="8"/>
      <c r="M37" s="9"/>
      <c r="N37" s="10"/>
    </row>
    <row r="38" spans="1:14" ht="15.75" customHeight="1" x14ac:dyDescent="0.15">
      <c r="A38" s="2"/>
      <c r="B38" s="2"/>
      <c r="C38" s="11"/>
      <c r="D38" s="4"/>
      <c r="E38" s="70"/>
      <c r="F38" s="33"/>
      <c r="G38" s="33"/>
      <c r="H38" s="33"/>
      <c r="I38" s="33"/>
      <c r="J38" s="33"/>
      <c r="K38" s="90"/>
      <c r="L38" s="8"/>
      <c r="M38" s="9"/>
      <c r="N38" s="10"/>
    </row>
    <row r="39" spans="1:14" ht="3" customHeight="1" x14ac:dyDescent="0.15">
      <c r="A39" s="2"/>
      <c r="B39" s="2"/>
      <c r="C39" s="11"/>
      <c r="D39" s="4"/>
      <c r="E39" s="2"/>
      <c r="F39" s="33"/>
      <c r="G39" s="33"/>
      <c r="H39" s="33"/>
      <c r="I39" s="33"/>
      <c r="J39" s="33"/>
      <c r="K39" s="90"/>
      <c r="L39" s="8"/>
      <c r="M39" s="9"/>
      <c r="N39" s="10"/>
    </row>
    <row r="40" spans="1:14" ht="15.75" customHeight="1" x14ac:dyDescent="0.15">
      <c r="A40" s="2"/>
      <c r="B40" s="2"/>
      <c r="C40" s="11"/>
      <c r="D40" s="4"/>
      <c r="E40" s="2"/>
      <c r="F40" s="33"/>
      <c r="G40" s="33"/>
      <c r="H40" s="33"/>
      <c r="I40" s="33"/>
      <c r="J40" s="33"/>
      <c r="K40" s="90"/>
      <c r="L40" s="8"/>
      <c r="M40" s="9"/>
      <c r="N40" s="10"/>
    </row>
    <row r="41" spans="1:14" ht="15.75" customHeight="1" x14ac:dyDescent="0.15">
      <c r="A41" s="11"/>
      <c r="B41" s="2"/>
      <c r="C41" s="79" t="s">
        <v>202</v>
      </c>
      <c r="D41" s="80"/>
      <c r="E41" s="81"/>
      <c r="F41" s="117"/>
      <c r="G41" s="33"/>
      <c r="H41" s="117"/>
      <c r="I41" s="117"/>
      <c r="J41" s="117"/>
      <c r="K41" s="118"/>
      <c r="L41" s="83"/>
      <c r="M41" s="22"/>
      <c r="N41" s="20"/>
    </row>
    <row r="42" spans="1:14" ht="6.75" customHeight="1" x14ac:dyDescent="0.15">
      <c r="A42" s="2"/>
      <c r="B42" s="2"/>
      <c r="C42" s="11"/>
      <c r="D42" s="4"/>
      <c r="E42" s="14" t="s">
        <v>203</v>
      </c>
      <c r="F42" s="92">
        <f>CALCULATION!O48/44</f>
        <v>0.65909090909090906</v>
      </c>
      <c r="G42" s="2"/>
      <c r="H42" s="33"/>
      <c r="I42" s="33"/>
      <c r="J42" s="33"/>
      <c r="K42" s="90"/>
      <c r="L42" s="8"/>
      <c r="M42" s="9"/>
      <c r="N42" s="10"/>
    </row>
    <row r="43" spans="1:14" ht="15.75" customHeight="1" x14ac:dyDescent="0.15">
      <c r="A43" s="2"/>
      <c r="B43" s="2"/>
      <c r="C43" s="11"/>
      <c r="D43" s="4"/>
      <c r="E43" s="14" t="s">
        <v>204</v>
      </c>
      <c r="F43" s="119">
        <f>CALCULATION!P48/1000</f>
        <v>14.8064</v>
      </c>
      <c r="G43" s="109" t="s">
        <v>205</v>
      </c>
      <c r="H43" s="33"/>
      <c r="I43" s="33"/>
      <c r="J43" s="33"/>
      <c r="K43" s="90"/>
      <c r="L43" s="8"/>
      <c r="M43" s="9"/>
      <c r="N43" s="10"/>
    </row>
    <row r="44" spans="1:14" ht="15.75" customHeight="1" x14ac:dyDescent="0.15">
      <c r="A44" s="2"/>
      <c r="B44" s="2"/>
      <c r="C44" s="2"/>
      <c r="D44" s="4"/>
      <c r="E44" s="2"/>
      <c r="F44" s="33"/>
      <c r="G44" s="33"/>
      <c r="H44" s="33"/>
      <c r="I44" s="33"/>
      <c r="J44" s="33"/>
      <c r="K44" s="90"/>
      <c r="L44" s="8"/>
      <c r="M44" s="9"/>
      <c r="N44" s="10"/>
    </row>
    <row r="45" spans="1:14" ht="15.75" customHeight="1" x14ac:dyDescent="0.15">
      <c r="A45" s="2"/>
      <c r="B45" s="2"/>
      <c r="C45" s="2"/>
      <c r="D45" s="4"/>
      <c r="E45" s="2"/>
      <c r="F45" s="33"/>
      <c r="G45" s="33"/>
      <c r="H45" s="33"/>
      <c r="I45" s="33"/>
      <c r="J45" s="33"/>
      <c r="K45" s="90"/>
      <c r="L45" s="8"/>
      <c r="M45" s="9"/>
      <c r="N45" s="10"/>
    </row>
    <row r="46" spans="1:14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customHeight="1" x14ac:dyDescent="0.15">
      <c r="A49" s="2"/>
      <c r="B49" s="2"/>
      <c r="C49" s="2"/>
      <c r="D49" s="120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customHeight="1" x14ac:dyDescent="0.15">
      <c r="A50" s="2"/>
      <c r="B50" s="2"/>
      <c r="C50" s="2"/>
      <c r="D50" s="120"/>
      <c r="E50" s="2"/>
      <c r="F50" s="120"/>
      <c r="G50" s="2"/>
      <c r="H50" s="2"/>
      <c r="I50" s="2"/>
      <c r="J50" s="2"/>
      <c r="K50" s="2"/>
      <c r="L50" s="2"/>
      <c r="M50" s="2"/>
      <c r="N50" s="2"/>
    </row>
    <row r="51" spans="1:14" ht="15.75" customHeight="1" x14ac:dyDescent="0.15">
      <c r="A51" s="2"/>
      <c r="B51" s="2"/>
      <c r="C51" s="2"/>
      <c r="D51" s="120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.75" customHeight="1" x14ac:dyDescent="0.15">
      <c r="A52" s="2"/>
      <c r="B52" s="2"/>
      <c r="C52" s="2"/>
      <c r="D52" s="120"/>
      <c r="E52" s="2"/>
      <c r="F52" s="120"/>
      <c r="G52" s="2"/>
      <c r="H52" s="2"/>
      <c r="I52" s="2"/>
      <c r="J52" s="2"/>
      <c r="K52" s="2"/>
      <c r="L52" s="2"/>
      <c r="M52" s="2"/>
      <c r="N52" s="2"/>
    </row>
    <row r="53" spans="1:14" ht="15.75" customHeight="1" x14ac:dyDescent="0.15">
      <c r="A53" s="2"/>
      <c r="B53" s="2"/>
      <c r="C53" s="2"/>
      <c r="D53" s="120"/>
      <c r="E53" s="2"/>
      <c r="F53" s="120"/>
      <c r="G53" s="2"/>
      <c r="H53" s="2"/>
      <c r="I53" s="2"/>
      <c r="J53" s="2"/>
      <c r="K53" s="2"/>
      <c r="L53" s="2"/>
      <c r="M53" s="2"/>
      <c r="N53" s="2"/>
    </row>
    <row r="54" spans="1:14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customHeight="1" x14ac:dyDescent="0.15">
      <c r="A55" s="2"/>
      <c r="B55" s="2"/>
      <c r="C55" s="2"/>
      <c r="D55" s="2"/>
      <c r="E55" s="2"/>
      <c r="F55" s="2"/>
      <c r="G55" s="120"/>
      <c r="H55" s="120"/>
      <c r="I55" s="2"/>
      <c r="J55" s="2"/>
      <c r="K55" s="2"/>
      <c r="L55" s="2"/>
      <c r="M55" s="2"/>
      <c r="N55" s="2"/>
    </row>
    <row r="56" spans="1:14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W993"/>
  <sheetViews>
    <sheetView showGridLines="0" workbookViewId="0">
      <pane ySplit="1" topLeftCell="A2" activePane="bottomLeft" state="frozen"/>
      <selection pane="bottomLeft" activeCell="B3" sqref="B3"/>
    </sheetView>
  </sheetViews>
  <sheetFormatPr baseColWidth="10" defaultColWidth="14.5" defaultRowHeight="15" customHeight="1" x14ac:dyDescent="0.15"/>
  <cols>
    <col min="1" max="1" width="12.6640625" customWidth="1"/>
    <col min="2" max="2" width="19.33203125" customWidth="1"/>
    <col min="3" max="3" width="30.5" customWidth="1"/>
    <col min="4" max="4" width="76.1640625" customWidth="1"/>
    <col min="5" max="5" width="11.83203125" customWidth="1"/>
    <col min="6" max="7" width="8.6640625" customWidth="1"/>
    <col min="8" max="10" width="17.6640625" customWidth="1"/>
    <col min="11" max="11" width="5.5" customWidth="1"/>
    <col min="12" max="12" width="5.1640625" customWidth="1"/>
    <col min="13" max="13" width="6.6640625" customWidth="1"/>
    <col min="14" max="14" width="7.83203125" customWidth="1"/>
    <col min="15" max="15" width="4.1640625" customWidth="1"/>
    <col min="16" max="16" width="8.83203125" customWidth="1"/>
    <col min="17" max="17" width="5.83203125" customWidth="1"/>
    <col min="18" max="18" width="16.83203125" customWidth="1"/>
    <col min="19" max="19" width="18.6640625" customWidth="1"/>
    <col min="20" max="20" width="9.83203125" customWidth="1"/>
    <col min="21" max="21" width="8.5" customWidth="1"/>
    <col min="22" max="22" width="11.5" customWidth="1"/>
    <col min="23" max="23" width="12.5" customWidth="1"/>
  </cols>
  <sheetData>
    <row r="1" spans="1:23" ht="20.25" customHeight="1" x14ac:dyDescent="0.15">
      <c r="A1" s="121" t="s">
        <v>206</v>
      </c>
      <c r="B1" s="121" t="s">
        <v>207</v>
      </c>
      <c r="C1" s="121" t="s">
        <v>208</v>
      </c>
      <c r="D1" s="121" t="s">
        <v>162</v>
      </c>
      <c r="E1" s="121" t="s">
        <v>209</v>
      </c>
      <c r="F1" s="121" t="s">
        <v>210</v>
      </c>
      <c r="G1" s="122" t="s">
        <v>211</v>
      </c>
      <c r="H1" s="123" t="s">
        <v>212</v>
      </c>
      <c r="I1" s="123" t="s">
        <v>213</v>
      </c>
      <c r="J1" s="123" t="s">
        <v>214</v>
      </c>
      <c r="K1" s="124" t="s">
        <v>215</v>
      </c>
      <c r="L1" s="124" t="s">
        <v>216</v>
      </c>
      <c r="M1" s="124"/>
      <c r="N1" s="124"/>
      <c r="O1" s="125" t="s">
        <v>217</v>
      </c>
      <c r="P1" s="125" t="s">
        <v>76</v>
      </c>
      <c r="Q1" s="125" t="s">
        <v>218</v>
      </c>
      <c r="R1" s="125" t="s">
        <v>219</v>
      </c>
      <c r="S1" s="125" t="s">
        <v>220</v>
      </c>
      <c r="T1" s="125" t="s">
        <v>221</v>
      </c>
      <c r="U1" s="125" t="s">
        <v>222</v>
      </c>
      <c r="V1" s="125" t="s">
        <v>223</v>
      </c>
      <c r="W1" s="125" t="s">
        <v>224</v>
      </c>
    </row>
    <row r="2" spans="1:23" ht="15.75" customHeight="1" x14ac:dyDescent="0.15">
      <c r="A2" s="126" t="s">
        <v>225</v>
      </c>
      <c r="B2" s="126" t="str">
        <f>VLOOKUP($C2,COMPONENTS!$A:$Q,2,FALSE)</f>
        <v>Chassis</v>
      </c>
      <c r="C2" s="127" t="str">
        <f>Params!C14</f>
        <v>GTC100012</v>
      </c>
      <c r="D2" s="128" t="str">
        <f>VLOOKUP($C2,COMPONENTS!$A:$Q,3,FALSE)</f>
        <v>SuperServer 2029BT-HNR - including assembly and accessories</v>
      </c>
      <c r="E2" s="129">
        <v>1</v>
      </c>
      <c r="F2" s="129">
        <f t="shared" ref="F2:F11" si="0">$E$13*E2</f>
        <v>5</v>
      </c>
      <c r="G2" s="130">
        <f t="shared" ref="G2:G11" si="1">$C$47*F2</f>
        <v>5</v>
      </c>
      <c r="H2" s="131">
        <f>J2*0.85</f>
        <v>3740</v>
      </c>
      <c r="I2" s="132">
        <f>VLOOKUP($C2,COMPONENTS!$A:$Q,6,FALSE)</f>
        <v>4620</v>
      </c>
      <c r="J2" s="133">
        <f>VLOOKUP($C2,COMPONENTS!$A:$Q,7,FALSE)</f>
        <v>4400</v>
      </c>
      <c r="K2" s="134" t="s">
        <v>226</v>
      </c>
      <c r="L2" s="135">
        <f>E13</f>
        <v>5</v>
      </c>
      <c r="M2" s="135">
        <f t="shared" ref="M2:M11" si="2">E2*I2*L2</f>
        <v>23100</v>
      </c>
      <c r="N2" s="135">
        <f t="shared" ref="N2:N11" si="3">E2*J2*L2</f>
        <v>22000</v>
      </c>
      <c r="O2" s="136">
        <f>VLOOKUP($C2,COMPONENTS!$A:$Q,8,FALSE)</f>
        <v>2</v>
      </c>
      <c r="P2" s="136">
        <f>VLOOKUP($C2,COMPONENTS!$A:$Q,9,FALSE)</f>
        <v>200</v>
      </c>
      <c r="Q2" s="137" t="str">
        <f>HYPERLINK(VLOOKUP($C2,COMPONENTS!$A:$Q,16,FALSE),"info")</f>
        <v>info</v>
      </c>
      <c r="R2" s="138">
        <f>VLOOKUP($C2,COMPONENTS!$A:$Q,10,FALSE)</f>
        <v>0</v>
      </c>
      <c r="S2" s="138">
        <f>VLOOKUP($C2,COMPONENTS!$A:$Q,11,FALSE)</f>
        <v>0</v>
      </c>
      <c r="T2" s="138">
        <f>VLOOKUP($C2,COMPONENTS!$A:$Q,12,FALSE)</f>
        <v>0</v>
      </c>
      <c r="U2" s="138">
        <f>VLOOKUP($C2,COMPONENTS!$A:$Q,13,FALSE)</f>
        <v>0</v>
      </c>
      <c r="V2" s="136">
        <f>VLOOKUP($C2,COMPONENTS!$A:$Q,14,FALSE)</f>
        <v>0</v>
      </c>
      <c r="W2" s="138">
        <f>VLOOKUP($C2,COMPONENTS!$A:$Q,15,FALSE)</f>
        <v>4</v>
      </c>
    </row>
    <row r="3" spans="1:23" ht="15.75" customHeight="1" x14ac:dyDescent="0.15">
      <c r="A3" s="126" t="s">
        <v>225</v>
      </c>
      <c r="B3" s="126" t="str">
        <f>VLOOKUP($C3,COMPONENTS!$A:$Q,2,FALSE)</f>
        <v>.</v>
      </c>
      <c r="C3" s="127" t="str">
        <f>Params!C16</f>
        <v>.</v>
      </c>
      <c r="D3" s="128">
        <f>VLOOKUP($C3,COMPONENTS!$A:$Q,3,FALSE)</f>
        <v>0</v>
      </c>
      <c r="E3" s="129">
        <f>Params!C19</f>
        <v>4</v>
      </c>
      <c r="F3" s="129">
        <f t="shared" si="0"/>
        <v>20</v>
      </c>
      <c r="G3" s="130">
        <f t="shared" si="1"/>
        <v>20</v>
      </c>
      <c r="H3" s="139">
        <v>0</v>
      </c>
      <c r="I3" s="132">
        <f>VLOOKUP($C3,COMPONENTS!$A:$Q,6,FALSE)</f>
        <v>0</v>
      </c>
      <c r="J3" s="133">
        <f>VLOOKUP($C3,COMPONENTS!$A:$Q,7,FALSE)</f>
        <v>0</v>
      </c>
      <c r="K3" s="134" t="s">
        <v>226</v>
      </c>
      <c r="L3" s="135">
        <f t="shared" ref="L3:L6" si="4">L2</f>
        <v>5</v>
      </c>
      <c r="M3" s="135">
        <f t="shared" si="2"/>
        <v>0</v>
      </c>
      <c r="N3" s="135">
        <f t="shared" si="3"/>
        <v>0</v>
      </c>
      <c r="O3" s="136">
        <f>VLOOKUP($C3,COMPONENTS!$A:$Q,8,FALSE)</f>
        <v>0</v>
      </c>
      <c r="P3" s="136">
        <f>VLOOKUP($C3,COMPONENTS!$A:$Q,9,FALSE)</f>
        <v>0</v>
      </c>
      <c r="Q3" s="137" t="str">
        <f>HYPERLINK(VLOOKUP($C3,COMPONENTS!$A:$Q,16,FALSE),"info")</f>
        <v>info</v>
      </c>
      <c r="R3" s="138">
        <f>VLOOKUP($C3,COMPONENTS!$A:$Q,10,FALSE)</f>
        <v>0</v>
      </c>
      <c r="S3" s="138">
        <f>VLOOKUP($C3,COMPONENTS!$A:$Q,11,FALSE)</f>
        <v>0</v>
      </c>
      <c r="T3" s="138">
        <f>VLOOKUP($C3,COMPONENTS!$A:$Q,12,FALSE)</f>
        <v>0</v>
      </c>
      <c r="U3" s="138">
        <f>VLOOKUP($C3,COMPONENTS!$A:$Q,13,FALSE)</f>
        <v>0</v>
      </c>
      <c r="V3" s="138">
        <f>VLOOKUP($C3,COMPONENTS!$A:$Q,14,FALSE)</f>
        <v>0</v>
      </c>
      <c r="W3" s="138">
        <f>VLOOKUP($C3,COMPONENTS!$A:$Q,15,FALSE)</f>
        <v>0</v>
      </c>
    </row>
    <row r="4" spans="1:23" ht="15.75" customHeight="1" x14ac:dyDescent="0.15">
      <c r="A4" s="126" t="s">
        <v>225</v>
      </c>
      <c r="B4" s="126" t="str">
        <f>VLOOKUP($C4,COMPONENTS!$A:$Q,2,FALSE)</f>
        <v>CPU</v>
      </c>
      <c r="C4" s="127" t="str">
        <f>Params!C20</f>
        <v>GTC110011</v>
      </c>
      <c r="D4" s="128" t="str">
        <f>VLOOKUP($C4,COMPONENTS!$A:$Q,3,FALSE)</f>
        <v>Intel Cascade Lake P4x-CLX5220-SRFBJ Intel Xeon GOLD 5220</v>
      </c>
      <c r="E4" s="160">
        <f>Params!C21*E3*E2</f>
        <v>8</v>
      </c>
      <c r="F4" s="129">
        <f t="shared" si="0"/>
        <v>40</v>
      </c>
      <c r="G4" s="130">
        <f t="shared" si="1"/>
        <v>40</v>
      </c>
      <c r="H4" s="131">
        <f t="shared" ref="H4:H11" si="5">J4*0.85</f>
        <v>1360</v>
      </c>
      <c r="I4" s="132">
        <f>VLOOKUP($C4,COMPONENTS!$A:$Q,6,FALSE)</f>
        <v>1680</v>
      </c>
      <c r="J4" s="133">
        <f>VLOOKUP($C4,COMPONENTS!$A:$Q,7,FALSE)</f>
        <v>1600</v>
      </c>
      <c r="K4" s="134" t="s">
        <v>226</v>
      </c>
      <c r="L4" s="135">
        <f t="shared" si="4"/>
        <v>5</v>
      </c>
      <c r="M4" s="135">
        <f t="shared" si="2"/>
        <v>67200</v>
      </c>
      <c r="N4" s="135">
        <f t="shared" si="3"/>
        <v>64000</v>
      </c>
      <c r="O4" s="136">
        <f>VLOOKUP($C4,COMPONENTS!$A:$Q,8,FALSE)</f>
        <v>0</v>
      </c>
      <c r="P4" s="136">
        <f>VLOOKUP($C4,COMPONENTS!$A:$Q,9,FALSE)</f>
        <v>105</v>
      </c>
      <c r="Q4" s="137" t="str">
        <f>HYPERLINK(VLOOKUP($C4,COMPONENTS!$A:$Q,16,FALSE),"info")</f>
        <v>info</v>
      </c>
      <c r="R4" s="138">
        <f>VLOOKUP($C4,COMPONENTS!$A:$Q,10,FALSE)</f>
        <v>0</v>
      </c>
      <c r="S4" s="138">
        <f>VLOOKUP($C4,COMPONENTS!$A:$Q,11,FALSE)</f>
        <v>0</v>
      </c>
      <c r="T4" s="138">
        <f>VLOOKUP($C4,COMPONENTS!$A:$Q,12,FALSE)</f>
        <v>0</v>
      </c>
      <c r="U4" s="138">
        <f>VLOOKUP($C4,COMPONENTS!$A:$Q,13,FALSE)</f>
        <v>36</v>
      </c>
      <c r="V4" s="136">
        <f>VLOOKUP($C4,COMPONENTS!$A:$Q,14,FALSE)</f>
        <v>0</v>
      </c>
      <c r="W4" s="138">
        <f>VLOOKUP($C4,COMPONENTS!$A:$Q,15,FALSE)</f>
        <v>0</v>
      </c>
    </row>
    <row r="5" spans="1:23" ht="15.75" customHeight="1" x14ac:dyDescent="0.15">
      <c r="A5" s="126" t="s">
        <v>225</v>
      </c>
      <c r="B5" s="126" t="str">
        <f>VLOOKUP($C5,COMPONENTS!$A:$Q,2,FALSE)</f>
        <v>NIC</v>
      </c>
      <c r="C5" s="171" t="str">
        <f>IF(Params!C13="S-QCT","GTC160017",IF(Params!C46="100G","GTC160024","GTC160018"))</f>
        <v>GTC160018</v>
      </c>
      <c r="D5" s="128" t="str">
        <f>VLOOKUP($C5,COMPONENTS!$A:$Q,3,FALSE)</f>
        <v>Supermicro SIOM, 25GbE, ConnectX-4</v>
      </c>
      <c r="E5" s="160">
        <f>IF(Params!C17&gt;0,E2*E3,0)</f>
        <v>4</v>
      </c>
      <c r="F5" s="129">
        <f t="shared" si="0"/>
        <v>20</v>
      </c>
      <c r="G5" s="130">
        <f t="shared" si="1"/>
        <v>20</v>
      </c>
      <c r="H5" s="131">
        <f t="shared" si="5"/>
        <v>255</v>
      </c>
      <c r="I5" s="132">
        <f>VLOOKUP($C5,COMPONENTS!$A:$Q,6,FALSE)</f>
        <v>315</v>
      </c>
      <c r="J5" s="133">
        <f>VLOOKUP($C5,COMPONENTS!$A:$Q,7,FALSE)</f>
        <v>300</v>
      </c>
      <c r="K5" s="134" t="s">
        <v>226</v>
      </c>
      <c r="L5" s="135">
        <f t="shared" si="4"/>
        <v>5</v>
      </c>
      <c r="M5" s="135">
        <f t="shared" si="2"/>
        <v>6300</v>
      </c>
      <c r="N5" s="135">
        <f t="shared" si="3"/>
        <v>6000</v>
      </c>
      <c r="O5" s="136">
        <f>VLOOKUP($C5,COMPONENTS!$A:$Q,8,FALSE)</f>
        <v>0</v>
      </c>
      <c r="P5" s="136">
        <f>VLOOKUP($C5,COMPONENTS!$A:$Q,9,FALSE)</f>
        <v>0</v>
      </c>
      <c r="Q5" s="137" t="str">
        <f>HYPERLINK(VLOOKUP($C5,COMPONENTS!$A:$Q,16,FALSE),"info")</f>
        <v>info</v>
      </c>
      <c r="R5" s="138">
        <f>VLOOKUP($C5,COMPONENTS!$A:$Q,10,FALSE)</f>
        <v>0</v>
      </c>
      <c r="S5" s="138">
        <f>VLOOKUP($C5,COMPONENTS!$A:$Q,11,FALSE)</f>
        <v>0</v>
      </c>
      <c r="T5" s="138">
        <f>VLOOKUP($C5,COMPONENTS!$A:$Q,12,FALSE)</f>
        <v>0</v>
      </c>
      <c r="U5" s="138">
        <f>VLOOKUP($C5,COMPONENTS!$A:$Q,13,FALSE)</f>
        <v>0</v>
      </c>
      <c r="V5" s="138">
        <f>VLOOKUP($C5,COMPONENTS!$A:$Q,14,FALSE)</f>
        <v>0</v>
      </c>
      <c r="W5" s="138">
        <f>VLOOKUP($C5,COMPONENTS!$A:$Q,15,FALSE)</f>
        <v>0</v>
      </c>
    </row>
    <row r="6" spans="1:23" ht="15.75" customHeight="1" x14ac:dyDescent="0.15">
      <c r="A6" s="178" t="s">
        <v>225</v>
      </c>
      <c r="B6" s="126" t="str">
        <f>VLOOKUP($C6,COMPONENTS!$A:$Q,2,FALSE)</f>
        <v>.</v>
      </c>
      <c r="C6" s="171" t="str">
        <f>IF(Params!C13="S-QCT",".",IF(Params!C46="100G","GTC160026","."))</f>
        <v>.</v>
      </c>
      <c r="D6" s="128">
        <f>VLOOKUP($C6,COMPONENTS!$A:$Q,3,FALSE)</f>
        <v>0</v>
      </c>
      <c r="E6" s="160">
        <f>E5</f>
        <v>4</v>
      </c>
      <c r="F6" s="129">
        <f t="shared" si="0"/>
        <v>20</v>
      </c>
      <c r="G6" s="130">
        <f t="shared" si="1"/>
        <v>20</v>
      </c>
      <c r="H6" s="131">
        <f t="shared" si="5"/>
        <v>0</v>
      </c>
      <c r="I6" s="132">
        <f>VLOOKUP($C6,COMPONENTS!$A:$Q,6,FALSE)</f>
        <v>0</v>
      </c>
      <c r="J6" s="133">
        <f>VLOOKUP($C6,COMPONENTS!$A:$Q,7,FALSE)</f>
        <v>0</v>
      </c>
      <c r="K6" s="134" t="s">
        <v>226</v>
      </c>
      <c r="L6" s="135">
        <f t="shared" si="4"/>
        <v>5</v>
      </c>
      <c r="M6" s="135">
        <f t="shared" si="2"/>
        <v>0</v>
      </c>
      <c r="N6" s="135">
        <f t="shared" si="3"/>
        <v>0</v>
      </c>
      <c r="O6" s="136">
        <f>VLOOKUP($C6,COMPONENTS!$A:$Q,8,FALSE)</f>
        <v>0</v>
      </c>
      <c r="P6" s="136">
        <f>VLOOKUP($C6,COMPONENTS!$A:$Q,9,FALSE)</f>
        <v>0</v>
      </c>
      <c r="Q6" s="137" t="str">
        <f>HYPERLINK(VLOOKUP($C6,COMPONENTS!$A:$Q,16,FALSE),"info")</f>
        <v>info</v>
      </c>
      <c r="R6" s="138">
        <f>VLOOKUP($C6,COMPONENTS!$A:$Q,10,FALSE)</f>
        <v>0</v>
      </c>
      <c r="S6" s="138">
        <f>VLOOKUP($C6,COMPONENTS!$A:$Q,11,FALSE)</f>
        <v>0</v>
      </c>
      <c r="T6" s="138">
        <f>VLOOKUP($C6,COMPONENTS!$A:$Q,12,FALSE)</f>
        <v>0</v>
      </c>
      <c r="U6" s="138">
        <f>VLOOKUP($C6,COMPONENTS!$A:$Q,13,FALSE)</f>
        <v>0</v>
      </c>
      <c r="V6" s="138">
        <f>VLOOKUP($C6,COMPONENTS!$A:$Q,14,FALSE)</f>
        <v>0</v>
      </c>
      <c r="W6" s="138">
        <f>VLOOKUP($C6,COMPONENTS!$A:$Q,15,FALSE)</f>
        <v>0</v>
      </c>
    </row>
    <row r="7" spans="1:23" ht="15.75" customHeight="1" x14ac:dyDescent="0.15">
      <c r="A7" s="126" t="s">
        <v>225</v>
      </c>
      <c r="B7" s="126" t="str">
        <f>VLOOKUP($C7,COMPONENTS!$A:$Q,2,FALSE)</f>
        <v>Memory</v>
      </c>
      <c r="C7" s="127" t="str">
        <f>Params!C30</f>
        <v>GTC120012</v>
      </c>
      <c r="D7" s="128" t="str">
        <f>VLOOKUP($C7,COMPONENTS!$A:$Q,3,FALSE)</f>
        <v>Samsung Memory, 64GB, Supermicro OEM, MEM-DR464L-SL03-LR26</v>
      </c>
      <c r="E7" s="160">
        <f>Params!C31*E2*E3</f>
        <v>32</v>
      </c>
      <c r="F7" s="129">
        <f t="shared" si="0"/>
        <v>160</v>
      </c>
      <c r="G7" s="130">
        <f t="shared" si="1"/>
        <v>160</v>
      </c>
      <c r="H7" s="131">
        <f t="shared" si="5"/>
        <v>348.5</v>
      </c>
      <c r="I7" s="132">
        <f>VLOOKUP($C7,COMPONENTS!$A:$Q,6,FALSE)</f>
        <v>430.5</v>
      </c>
      <c r="J7" s="133">
        <f>VLOOKUP($C7,COMPONENTS!$A:$Q,7,FALSE)</f>
        <v>410</v>
      </c>
      <c r="K7" s="134" t="s">
        <v>226</v>
      </c>
      <c r="L7" s="135">
        <f>L5</f>
        <v>5</v>
      </c>
      <c r="M7" s="135">
        <f t="shared" si="2"/>
        <v>68880</v>
      </c>
      <c r="N7" s="135">
        <f t="shared" si="3"/>
        <v>65600</v>
      </c>
      <c r="O7" s="136">
        <f>VLOOKUP($C7,COMPONENTS!$A:$Q,8,FALSE)</f>
        <v>0</v>
      </c>
      <c r="P7" s="136">
        <f>VLOOKUP($C7,COMPONENTS!$A:$Q,9,FALSE)</f>
        <v>15</v>
      </c>
      <c r="Q7" s="137" t="str">
        <f>HYPERLINK(VLOOKUP($C7,COMPONENTS!$A:$Q,16,FALSE),"info")</f>
        <v>info</v>
      </c>
      <c r="R7" s="138">
        <f>VLOOKUP($C7,COMPONENTS!$A:$Q,10,FALSE)</f>
        <v>0</v>
      </c>
      <c r="S7" s="138">
        <f>VLOOKUP($C7,COMPONENTS!$A:$Q,11,FALSE)</f>
        <v>0</v>
      </c>
      <c r="T7" s="138">
        <f>VLOOKUP($C7,COMPONENTS!$A:$Q,12,FALSE)</f>
        <v>64</v>
      </c>
      <c r="U7" s="138">
        <f>VLOOKUP($C7,COMPONENTS!$A:$Q,13,FALSE)</f>
        <v>0</v>
      </c>
      <c r="V7" s="138">
        <f>VLOOKUP($C7,COMPONENTS!$A:$Q,14,FALSE)</f>
        <v>0</v>
      </c>
      <c r="W7" s="138">
        <f>VLOOKUP($C7,COMPONENTS!$A:$Q,15,FALSE)</f>
        <v>0</v>
      </c>
    </row>
    <row r="8" spans="1:23" ht="15.75" customHeight="1" x14ac:dyDescent="0.15">
      <c r="A8" s="126" t="s">
        <v>225</v>
      </c>
      <c r="B8" s="126" t="str">
        <f>VLOOKUP($C8,COMPONENTS!$A:$Q,2,FALSE)</f>
        <v>.</v>
      </c>
      <c r="C8" s="127" t="str">
        <f>Params!C28</f>
        <v>.</v>
      </c>
      <c r="D8" s="128">
        <f>VLOOKUP($C8,COMPONENTS!$A:$Q,3,FALSE)</f>
        <v>0</v>
      </c>
      <c r="E8" s="129">
        <f>Params!C29</f>
        <v>0</v>
      </c>
      <c r="F8" s="129">
        <f t="shared" si="0"/>
        <v>0</v>
      </c>
      <c r="G8" s="130">
        <f t="shared" si="1"/>
        <v>0</v>
      </c>
      <c r="H8" s="131">
        <f t="shared" si="5"/>
        <v>0</v>
      </c>
      <c r="I8" s="132">
        <f>VLOOKUP($C8,COMPONENTS!$A:$Q,6,FALSE)</f>
        <v>0</v>
      </c>
      <c r="J8" s="133">
        <f>VLOOKUP($C8,COMPONENTS!$A:$Q,7,FALSE)</f>
        <v>0</v>
      </c>
      <c r="K8" s="134" t="s">
        <v>308</v>
      </c>
      <c r="L8" s="135">
        <f t="shared" ref="L8:L11" si="6">L7</f>
        <v>5</v>
      </c>
      <c r="M8" s="135">
        <f t="shared" si="2"/>
        <v>0</v>
      </c>
      <c r="N8" s="135">
        <f t="shared" si="3"/>
        <v>0</v>
      </c>
      <c r="O8" s="136">
        <f>VLOOKUP($C8,COMPONENTS!$A:$Q,8,FALSE)</f>
        <v>0</v>
      </c>
      <c r="P8" s="136">
        <f>VLOOKUP($C8,COMPONENTS!$A:$Q,9,FALSE)</f>
        <v>0</v>
      </c>
      <c r="Q8" s="137" t="str">
        <f>HYPERLINK(VLOOKUP($C8,COMPONENTS!$A:$Q,16,FALSE),"info")</f>
        <v>info</v>
      </c>
      <c r="R8" s="138">
        <f>VLOOKUP($C8,COMPONENTS!$A:$Q,10,FALSE)</f>
        <v>0</v>
      </c>
      <c r="S8" s="138">
        <f>VLOOKUP($C8,COMPONENTS!$A:$Q,11,FALSE)</f>
        <v>0</v>
      </c>
      <c r="T8" s="138">
        <f>VLOOKUP($C8,COMPONENTS!$A:$Q,12,FALSE)</f>
        <v>0</v>
      </c>
      <c r="U8" s="138">
        <f>VLOOKUP($C8,COMPONENTS!$A:$Q,13,FALSE)</f>
        <v>0</v>
      </c>
      <c r="V8" s="138">
        <f>VLOOKUP($C8,COMPONENTS!$A:$Q,14,FALSE)</f>
        <v>0</v>
      </c>
      <c r="W8" s="138">
        <f>VLOOKUP($C8,COMPONENTS!$A:$Q,15,FALSE)</f>
        <v>0</v>
      </c>
    </row>
    <row r="9" spans="1:23" ht="15.75" customHeight="1" x14ac:dyDescent="0.15">
      <c r="A9" s="126" t="s">
        <v>225</v>
      </c>
      <c r="B9" s="126" t="str">
        <f>VLOOKUP($C9,COMPONENTS!$A:$Q,2,FALSE)</f>
        <v>Storage - NVMe</v>
      </c>
      <c r="C9" s="127" t="str">
        <f>Params!C26</f>
        <v>GTC130028</v>
      </c>
      <c r="D9" s="128" t="str">
        <f>VLOOKUP($C9,COMPONENTS!$A:$Q,3,FALSE)</f>
        <v>Intel® SSD DC P4101 Series - 1TB, M.2 80mm PCIe 3.0 x4, 3D2, TLC</v>
      </c>
      <c r="E9" s="129">
        <f>Params!C27*E3</f>
        <v>4</v>
      </c>
      <c r="F9" s="129">
        <f t="shared" si="0"/>
        <v>20</v>
      </c>
      <c r="G9" s="130">
        <f t="shared" si="1"/>
        <v>20</v>
      </c>
      <c r="H9" s="131">
        <f t="shared" si="5"/>
        <v>327.25</v>
      </c>
      <c r="I9" s="132">
        <f>VLOOKUP($C9,COMPONENTS!$A:$Q,6,FALSE)</f>
        <v>404.25</v>
      </c>
      <c r="J9" s="133">
        <f>VLOOKUP($C9,COMPONENTS!$A:$Q,7,FALSE)</f>
        <v>385</v>
      </c>
      <c r="K9" s="134" t="s">
        <v>323</v>
      </c>
      <c r="L9" s="135">
        <f t="shared" si="6"/>
        <v>5</v>
      </c>
      <c r="M9" s="135">
        <f t="shared" si="2"/>
        <v>8085</v>
      </c>
      <c r="N9" s="135">
        <f t="shared" si="3"/>
        <v>7700</v>
      </c>
      <c r="O9" s="136">
        <f>VLOOKUP($C9,COMPONENTS!$A:$Q,8,FALSE)</f>
        <v>0</v>
      </c>
      <c r="P9" s="136">
        <f>VLOOKUP($C9,COMPONENTS!$A:$Q,9,FALSE)</f>
        <v>8</v>
      </c>
      <c r="Q9" s="137" t="str">
        <f>HYPERLINK(VLOOKUP($C9,COMPONENTS!$A:$Q,16,FALSE),"info")</f>
        <v>info</v>
      </c>
      <c r="R9" s="138">
        <f>VLOOKUP($C9,COMPONENTS!$A:$Q,10,FALSE)</f>
        <v>1</v>
      </c>
      <c r="S9" s="138">
        <f>VLOOKUP($C9,COMPONENTS!$A:$Q,11,FALSE)</f>
        <v>0</v>
      </c>
      <c r="T9" s="138">
        <f>VLOOKUP($C9,COMPONENTS!$A:$Q,12,FALSE)</f>
        <v>0</v>
      </c>
      <c r="U9" s="138">
        <f>VLOOKUP($C9,COMPONENTS!$A:$Q,13,FALSE)</f>
        <v>0</v>
      </c>
      <c r="V9" s="138">
        <f>VLOOKUP($C9,COMPONENTS!$A:$Q,14,FALSE)</f>
        <v>0</v>
      </c>
      <c r="W9" s="138">
        <f>VLOOKUP($C9,COMPONENTS!$A:$Q,15,FALSE)</f>
        <v>0</v>
      </c>
    </row>
    <row r="10" spans="1:23" ht="15.75" customHeight="1" x14ac:dyDescent="0.15">
      <c r="A10" s="126" t="s">
        <v>225</v>
      </c>
      <c r="B10" s="126" t="str">
        <f>VLOOKUP($C10,COMPONENTS!$A:$Q,2,FALSE)</f>
        <v>Storage - NVMe</v>
      </c>
      <c r="C10" s="127" t="str">
        <f>Params!C22</f>
        <v>GTC130027</v>
      </c>
      <c r="D10" s="128" t="str">
        <f>VLOOKUP($C10,COMPONENTS!$A:$Q,3,FALSE)</f>
        <v>Intel DC P4510 1TB NVMe PCI-E 3.1 x4 3D TLC 2.5" 15mm 1DWPD</v>
      </c>
      <c r="E10" s="160">
        <f>(Params!C23)*E3*E2</f>
        <v>16</v>
      </c>
      <c r="F10" s="129">
        <f t="shared" si="0"/>
        <v>80</v>
      </c>
      <c r="G10" s="130">
        <f t="shared" si="1"/>
        <v>80</v>
      </c>
      <c r="H10" s="131">
        <f t="shared" si="5"/>
        <v>212.5</v>
      </c>
      <c r="I10" s="132">
        <f>VLOOKUP($C10,COMPONENTS!$A:$Q,6,FALSE)</f>
        <v>262.5</v>
      </c>
      <c r="J10" s="133">
        <f>VLOOKUP($C10,COMPONENTS!$A:$Q,7,FALSE)</f>
        <v>250</v>
      </c>
      <c r="K10" s="134" t="s">
        <v>308</v>
      </c>
      <c r="L10" s="135">
        <f t="shared" si="6"/>
        <v>5</v>
      </c>
      <c r="M10" s="135">
        <f t="shared" si="2"/>
        <v>21000</v>
      </c>
      <c r="N10" s="135">
        <f t="shared" si="3"/>
        <v>20000</v>
      </c>
      <c r="O10" s="136">
        <f>VLOOKUP($C10,COMPONENTS!$A:$Q,8,FALSE)</f>
        <v>0</v>
      </c>
      <c r="P10" s="136">
        <f>VLOOKUP($C10,COMPONENTS!$A:$Q,9,FALSE)</f>
        <v>8</v>
      </c>
      <c r="Q10" s="137" t="str">
        <f>HYPERLINK(VLOOKUP($C10,COMPONENTS!$A:$Q,16,FALSE),"info")</f>
        <v>info</v>
      </c>
      <c r="R10" s="138">
        <f>VLOOKUP($C10,COMPONENTS!$A:$Q,10,FALSE)</f>
        <v>1</v>
      </c>
      <c r="S10" s="138">
        <f>VLOOKUP($C10,COMPONENTS!$A:$Q,11,FALSE)</f>
        <v>0</v>
      </c>
      <c r="T10" s="138">
        <f>VLOOKUP($C10,COMPONENTS!$A:$Q,12,FALSE)</f>
        <v>0</v>
      </c>
      <c r="U10" s="138">
        <f>VLOOKUP($C10,COMPONENTS!$A:$Q,13,FALSE)</f>
        <v>0</v>
      </c>
      <c r="V10" s="138">
        <f>VLOOKUP($C10,COMPONENTS!$A:$Q,14,FALSE)</f>
        <v>0</v>
      </c>
      <c r="W10" s="138">
        <f>VLOOKUP($C10,COMPONENTS!$A:$Q,15,FALSE)</f>
        <v>0</v>
      </c>
    </row>
    <row r="11" spans="1:23" ht="15.75" customHeight="1" x14ac:dyDescent="0.15">
      <c r="A11" s="126" t="s">
        <v>225</v>
      </c>
      <c r="B11" s="126" t="str">
        <f>VLOOKUP($C11,COMPONENTS!$A:$Q,2,FALSE)</f>
        <v>Storage - NVMe</v>
      </c>
      <c r="C11" s="127" t="str">
        <f>Params!C24</f>
        <v>GTC130027</v>
      </c>
      <c r="D11" s="128" t="str">
        <f>VLOOKUP($C11,COMPONENTS!$A:$Q,3,FALSE)</f>
        <v>Intel DC P4510 1TB NVMe PCI-E 3.1 x4 3D TLC 2.5" 15mm 1DWPD</v>
      </c>
      <c r="E11" s="160">
        <f>(Params!C25)*E3*E2</f>
        <v>8</v>
      </c>
      <c r="F11" s="129">
        <f t="shared" si="0"/>
        <v>40</v>
      </c>
      <c r="G11" s="130">
        <f t="shared" si="1"/>
        <v>40</v>
      </c>
      <c r="H11" s="131">
        <f t="shared" si="5"/>
        <v>212.5</v>
      </c>
      <c r="I11" s="132">
        <f>VLOOKUP($C11,COMPONENTS!$A:$Q,6,FALSE)</f>
        <v>262.5</v>
      </c>
      <c r="J11" s="193">
        <f>VLOOKUP($C11,COMPONENTS!$A:$Q,7,FALSE)</f>
        <v>250</v>
      </c>
      <c r="K11" s="194" t="s">
        <v>308</v>
      </c>
      <c r="L11" s="135">
        <f t="shared" si="6"/>
        <v>5</v>
      </c>
      <c r="M11" s="135">
        <f t="shared" si="2"/>
        <v>10500</v>
      </c>
      <c r="N11" s="135">
        <f t="shared" si="3"/>
        <v>10000</v>
      </c>
      <c r="O11" s="136">
        <f>VLOOKUP($C11,COMPONENTS!$A:$Q,8,FALSE)</f>
        <v>0</v>
      </c>
      <c r="P11" s="136">
        <f>VLOOKUP($C11,COMPONENTS!$A:$Q,9,FALSE)</f>
        <v>8</v>
      </c>
      <c r="Q11" s="137" t="str">
        <f>HYPERLINK(VLOOKUP($C11,COMPONENTS!$A:$Q,16,FALSE),"info")</f>
        <v>info</v>
      </c>
      <c r="R11" s="138">
        <f>VLOOKUP($C11,COMPONENTS!$A:$Q,10,FALSE)</f>
        <v>1</v>
      </c>
      <c r="S11" s="138">
        <f>VLOOKUP($C11,COMPONENTS!$A:$Q,11,FALSE)</f>
        <v>0</v>
      </c>
      <c r="T11" s="138">
        <f>VLOOKUP($C11,COMPONENTS!$A:$Q,12,FALSE)</f>
        <v>0</v>
      </c>
      <c r="U11" s="138">
        <f>VLOOKUP($C11,COMPONENTS!$A:$Q,13,FALSE)</f>
        <v>0</v>
      </c>
      <c r="V11" s="138">
        <f>VLOOKUP($C11,COMPONENTS!$A:$Q,14,FALSE)</f>
        <v>0</v>
      </c>
      <c r="W11" s="138">
        <f>VLOOKUP($C11,COMPONENTS!$A:$Q,15,FALSE)</f>
        <v>0</v>
      </c>
    </row>
    <row r="12" spans="1:23" ht="15.75" customHeight="1" x14ac:dyDescent="0.15">
      <c r="A12" s="196"/>
      <c r="B12" s="197"/>
      <c r="C12" s="198" t="s">
        <v>361</v>
      </c>
      <c r="D12" s="199"/>
      <c r="E12" s="200"/>
      <c r="F12" s="200"/>
      <c r="G12" s="200"/>
      <c r="H12" s="201">
        <f t="shared" ref="H12:J12" si="7">SUMPRODUCT($E2:$E11,H2:H11)</f>
        <v>33201</v>
      </c>
      <c r="I12" s="202">
        <f t="shared" si="7"/>
        <v>41013</v>
      </c>
      <c r="J12" s="203">
        <f t="shared" si="7"/>
        <v>39060</v>
      </c>
      <c r="K12" s="204"/>
      <c r="L12" s="204"/>
      <c r="M12" s="204"/>
      <c r="N12" s="204"/>
      <c r="O12" s="204">
        <f t="shared" ref="O12:P12" si="8">SUMPRODUCT($E2:$E10,O2:O10)</f>
        <v>2</v>
      </c>
      <c r="P12" s="204">
        <f t="shared" si="8"/>
        <v>1680</v>
      </c>
      <c r="Q12" s="198"/>
      <c r="R12" s="205">
        <f t="shared" ref="R12:W12" si="9">SUMPRODUCT($E2:$E10,R2:R10)</f>
        <v>20</v>
      </c>
      <c r="S12" s="204">
        <f t="shared" si="9"/>
        <v>0</v>
      </c>
      <c r="T12" s="204">
        <f t="shared" si="9"/>
        <v>2048</v>
      </c>
      <c r="U12" s="204">
        <f t="shared" si="9"/>
        <v>288</v>
      </c>
      <c r="V12" s="204">
        <f t="shared" si="9"/>
        <v>0</v>
      </c>
      <c r="W12" s="206">
        <f t="shared" si="9"/>
        <v>4</v>
      </c>
    </row>
    <row r="13" spans="1:23" ht="15.75" customHeight="1" x14ac:dyDescent="0.15">
      <c r="A13" s="196"/>
      <c r="B13" s="197"/>
      <c r="C13" s="198" t="s">
        <v>368</v>
      </c>
      <c r="D13" s="199"/>
      <c r="E13" s="207">
        <f>Params!C15</f>
        <v>5</v>
      </c>
      <c r="F13" s="207"/>
      <c r="G13" s="207"/>
      <c r="H13" s="201">
        <f>E13*H12</f>
        <v>166005</v>
      </c>
      <c r="I13" s="202">
        <f>E13*I12</f>
        <v>205065</v>
      </c>
      <c r="J13" s="203">
        <f>E13*J12</f>
        <v>195300</v>
      </c>
      <c r="K13" s="204"/>
      <c r="L13" s="204"/>
      <c r="M13" s="204"/>
      <c r="N13" s="204"/>
      <c r="O13" s="204">
        <f t="shared" ref="O13:P13" si="10">O12*$E13</f>
        <v>10</v>
      </c>
      <c r="P13" s="204">
        <f t="shared" si="10"/>
        <v>8400</v>
      </c>
      <c r="Q13" s="198"/>
      <c r="R13" s="205">
        <f t="shared" ref="R13:W13" si="11">R12*$E13</f>
        <v>100</v>
      </c>
      <c r="S13" s="204">
        <f t="shared" si="11"/>
        <v>0</v>
      </c>
      <c r="T13" s="204">
        <f t="shared" si="11"/>
        <v>10240</v>
      </c>
      <c r="U13" s="204">
        <f t="shared" si="11"/>
        <v>1440</v>
      </c>
      <c r="V13" s="204">
        <f t="shared" si="11"/>
        <v>0</v>
      </c>
      <c r="W13" s="206">
        <f t="shared" si="11"/>
        <v>20</v>
      </c>
    </row>
    <row r="14" spans="1:23" ht="15.75" customHeight="1" x14ac:dyDescent="0.15">
      <c r="A14" s="126" t="s">
        <v>373</v>
      </c>
      <c r="B14" s="126" t="str">
        <f>VLOOKUP($C14,COMPONENTS!$A:$Q,2,FALSE)</f>
        <v>Chassis</v>
      </c>
      <c r="C14" s="156" t="str">
        <f>IF(Params!C13="S-QCT","GTC100002","GTC100010")</f>
        <v>GTC100010</v>
      </c>
      <c r="D14" s="128" t="str">
        <f>VLOOKUP($C14,COMPONENTS!$A:$Q,3,FALSE)</f>
        <v>SuperStorage 6029P-E1CR24H - including assembly and accessories</v>
      </c>
      <c r="E14" s="160">
        <v>1</v>
      </c>
      <c r="F14" s="160">
        <f t="shared" ref="F14:F22" si="12">$E$24*E14</f>
        <v>6</v>
      </c>
      <c r="G14" s="208">
        <f t="shared" ref="G14:G22" si="13">$C$47*F14</f>
        <v>6</v>
      </c>
      <c r="H14" s="131">
        <f t="shared" ref="H14:H22" si="14">J14*0.85</f>
        <v>3400</v>
      </c>
      <c r="I14" s="132">
        <f>VLOOKUP($C14,COMPONENTS!$A:$Q,6,FALSE)</f>
        <v>4200</v>
      </c>
      <c r="J14" s="133">
        <f>VLOOKUP($C14,COMPONENTS!$A:$Q,7,FALSE)</f>
        <v>4000</v>
      </c>
      <c r="K14" s="134" t="s">
        <v>308</v>
      </c>
      <c r="L14" s="135">
        <f>E24</f>
        <v>6</v>
      </c>
      <c r="M14" s="135">
        <f t="shared" ref="M14:M22" si="15">E14*I14*L14</f>
        <v>25200</v>
      </c>
      <c r="N14" s="135">
        <f t="shared" ref="N14:N22" si="16">E14*J14*L14</f>
        <v>24000</v>
      </c>
      <c r="O14" s="136">
        <f>VLOOKUP($C14,COMPONENTS!$A:$Q,8,FALSE)</f>
        <v>2</v>
      </c>
      <c r="P14" s="136">
        <f>VLOOKUP($C14,COMPONENTS!$A:$Q,9,FALSE)</f>
        <v>525</v>
      </c>
      <c r="Q14" s="137" t="str">
        <f>HYPERLINK(VLOOKUP($C14,COMPONENTS!$A:$Q,16,FALSE),"info")</f>
        <v>info</v>
      </c>
      <c r="R14" s="138">
        <f>VLOOKUP($C14,COMPONENTS!$A:$Q,10,FALSE)</f>
        <v>0</v>
      </c>
      <c r="S14" s="138">
        <f>VLOOKUP($C14,COMPONENTS!$A:$Q,11,FALSE)</f>
        <v>0</v>
      </c>
      <c r="T14" s="221">
        <f>VLOOKUP($C14,COMPONENTS!$A:$Q,12,FALSE)</f>
        <v>0</v>
      </c>
      <c r="U14" s="138">
        <f>VLOOKUP($C14,COMPONENTS!$A:$Q,13,FALSE)</f>
        <v>0</v>
      </c>
      <c r="V14" s="136">
        <f>VLOOKUP($C14,COMPONENTS!$A:$Q,14,FALSE)</f>
        <v>0</v>
      </c>
      <c r="W14" s="138">
        <f>VLOOKUP($C14,COMPONENTS!$A:$Q,15,FALSE)</f>
        <v>1</v>
      </c>
    </row>
    <row r="15" spans="1:23" ht="15.75" customHeight="1" x14ac:dyDescent="0.15">
      <c r="A15" s="126" t="s">
        <v>373</v>
      </c>
      <c r="B15" s="126" t="str">
        <f>VLOOKUP($C15,COMPONENTS!$A:$Q,2,FALSE)</f>
        <v xml:space="preserve">CPU </v>
      </c>
      <c r="C15" s="156" t="str">
        <f>IF(Params!C13="S-QCT","GTC110004","GTC110012")</f>
        <v>GTC110012</v>
      </c>
      <c r="D15" s="128" t="str">
        <f>VLOOKUP($C15,COMPONENTS!$A:$Q,3,FALSE)</f>
        <v>Intel Cascade Lake P4X-CLX4214-SRFB9 Intel Xeon SILVER 4214</v>
      </c>
      <c r="E15" s="160">
        <f>IF(Params!C13="S-QCT",4,2)</f>
        <v>2</v>
      </c>
      <c r="F15" s="160">
        <f t="shared" si="12"/>
        <v>12</v>
      </c>
      <c r="G15" s="208">
        <f t="shared" si="13"/>
        <v>12</v>
      </c>
      <c r="H15" s="131">
        <f t="shared" si="14"/>
        <v>603.5</v>
      </c>
      <c r="I15" s="132">
        <f>VLOOKUP($C15,COMPONENTS!$A:$Q,6,FALSE)</f>
        <v>745.5</v>
      </c>
      <c r="J15" s="133">
        <f>VLOOKUP($C15,COMPONENTS!$A:$Q,7,FALSE)</f>
        <v>710</v>
      </c>
      <c r="K15" s="134" t="s">
        <v>308</v>
      </c>
      <c r="L15" s="135">
        <f t="shared" ref="L15:L18" si="17">L14</f>
        <v>6</v>
      </c>
      <c r="M15" s="135">
        <f t="shared" si="15"/>
        <v>8946</v>
      </c>
      <c r="N15" s="135">
        <f t="shared" si="16"/>
        <v>8520</v>
      </c>
      <c r="O15" s="136">
        <f>VLOOKUP($C15,COMPONENTS!$A:$Q,8,FALSE)</f>
        <v>0</v>
      </c>
      <c r="P15" s="136">
        <f>VLOOKUP($C15,COMPONENTS!$A:$Q,9,FALSE)</f>
        <v>85</v>
      </c>
      <c r="Q15" s="137" t="str">
        <f>HYPERLINK(VLOOKUP($C15,COMPONENTS!$A:$Q,16,FALSE),"info")</f>
        <v>info</v>
      </c>
      <c r="R15" s="138">
        <f>VLOOKUP($C15,COMPONENTS!$A:$Q,10,FALSE)</f>
        <v>0</v>
      </c>
      <c r="S15" s="138">
        <f>VLOOKUP($C15,COMPONENTS!$A:$Q,11,FALSE)</f>
        <v>0</v>
      </c>
      <c r="T15" s="221">
        <f>VLOOKUP($C15,COMPONENTS!$A:$Q,12,FALSE)</f>
        <v>0</v>
      </c>
      <c r="U15" s="138">
        <f>VLOOKUP($C15,COMPONENTS!$A:$Q,13,FALSE)</f>
        <v>24</v>
      </c>
      <c r="V15" s="136">
        <f>VLOOKUP($C15,COMPONENTS!$A:$Q,14,FALSE)</f>
        <v>0</v>
      </c>
      <c r="W15" s="138">
        <f>VLOOKUP($C15,COMPONENTS!$A:$Q,15,FALSE)</f>
        <v>0</v>
      </c>
    </row>
    <row r="16" spans="1:23" ht="15.75" customHeight="1" x14ac:dyDescent="0.15">
      <c r="A16" s="126" t="s">
        <v>373</v>
      </c>
      <c r="B16" s="126" t="str">
        <f>VLOOKUP($C16,COMPONENTS!$A:$Q,2,FALSE)</f>
        <v>Storage - NVMe</v>
      </c>
      <c r="C16" s="127" t="str">
        <f>Params!C42</f>
        <v>GTC130027</v>
      </c>
      <c r="D16" s="128" t="str">
        <f>VLOOKUP($C16,COMPONENTS!$A:$Q,3,FALSE)</f>
        <v>Intel DC P4510 1TB NVMe PCI-E 3.1 x4 3D TLC 2.5" 15mm 1DWPD</v>
      </c>
      <c r="E16" s="129">
        <f>Params!C43</f>
        <v>1</v>
      </c>
      <c r="F16" s="160">
        <f t="shared" si="12"/>
        <v>6</v>
      </c>
      <c r="G16" s="208">
        <f t="shared" si="13"/>
        <v>6</v>
      </c>
      <c r="H16" s="131">
        <f t="shared" si="14"/>
        <v>212.5</v>
      </c>
      <c r="I16" s="132">
        <f>VLOOKUP($C16,COMPONENTS!$A:$Q,6,FALSE)</f>
        <v>262.5</v>
      </c>
      <c r="J16" s="133">
        <f>VLOOKUP($C16,COMPONENTS!$A:$Q,7,FALSE)</f>
        <v>250</v>
      </c>
      <c r="K16" s="134" t="s">
        <v>308</v>
      </c>
      <c r="L16" s="135">
        <f t="shared" si="17"/>
        <v>6</v>
      </c>
      <c r="M16" s="135">
        <f t="shared" si="15"/>
        <v>1575</v>
      </c>
      <c r="N16" s="135">
        <f t="shared" si="16"/>
        <v>1500</v>
      </c>
      <c r="O16" s="136">
        <f>VLOOKUP($C16,COMPONENTS!$A:$Q,8,FALSE)</f>
        <v>0</v>
      </c>
      <c r="P16" s="136">
        <f>VLOOKUP($C16,COMPONENTS!$A:$Q,9,FALSE)</f>
        <v>8</v>
      </c>
      <c r="Q16" s="137" t="str">
        <f>HYPERLINK(VLOOKUP($C16,COMPONENTS!$A:$Q,16,FALSE),"info")</f>
        <v>info</v>
      </c>
      <c r="R16" s="138">
        <f>VLOOKUP($C16,COMPONENTS!$A:$Q,10,FALSE)</f>
        <v>1</v>
      </c>
      <c r="S16" s="138">
        <f>VLOOKUP($C16,COMPONENTS!$A:$Q,11,FALSE)</f>
        <v>0</v>
      </c>
      <c r="T16" s="221">
        <f>VLOOKUP($C16,COMPONENTS!$A:$Q,12,FALSE)</f>
        <v>0</v>
      </c>
      <c r="U16" s="138">
        <f>VLOOKUP($C16,COMPONENTS!$A:$Q,13,FALSE)</f>
        <v>0</v>
      </c>
      <c r="V16" s="138">
        <f>VLOOKUP($C16,COMPONENTS!$A:$Q,14,FALSE)</f>
        <v>0</v>
      </c>
      <c r="W16" s="138">
        <f>VLOOKUP($C16,COMPONENTS!$A:$Q,15,FALSE)</f>
        <v>0</v>
      </c>
    </row>
    <row r="17" spans="1:23" ht="15.75" customHeight="1" x14ac:dyDescent="0.15">
      <c r="A17" s="126" t="s">
        <v>373</v>
      </c>
      <c r="B17" s="126" t="str">
        <f>VLOOKUP($C17,COMPONENTS!$A:$Q,2,FALSE)</f>
        <v>Memory</v>
      </c>
      <c r="C17" s="126" t="str">
        <f>IF(Params!C13="S-QCT",IF(Params!C35=1,"GTC120006","GTC120001"),"GTC120011")</f>
        <v>GTC120011</v>
      </c>
      <c r="D17" s="128" t="str">
        <f>VLOOKUP($C17,COMPONENTS!$A:$Q,3,FALSE)</f>
        <v>Samsung Memory , 32GB, Supermicro OEM, MEM-DR432L-SL03-ER26</v>
      </c>
      <c r="E17" s="160">
        <f>IF(Params!C35=1,4*E15,2*E15)</f>
        <v>8</v>
      </c>
      <c r="F17" s="160">
        <f t="shared" si="12"/>
        <v>48</v>
      </c>
      <c r="G17" s="208">
        <f t="shared" si="13"/>
        <v>48</v>
      </c>
      <c r="H17" s="131">
        <f t="shared" si="14"/>
        <v>189.54999999999998</v>
      </c>
      <c r="I17" s="132">
        <f>VLOOKUP($C17,COMPONENTS!$A:$Q,6,FALSE)</f>
        <v>234.15</v>
      </c>
      <c r="J17" s="133">
        <f>VLOOKUP($C17,COMPONENTS!$A:$Q,7,FALSE)</f>
        <v>223</v>
      </c>
      <c r="K17" s="134" t="s">
        <v>308</v>
      </c>
      <c r="L17" s="135">
        <f t="shared" si="17"/>
        <v>6</v>
      </c>
      <c r="M17" s="135">
        <f t="shared" si="15"/>
        <v>11239.2</v>
      </c>
      <c r="N17" s="135">
        <f t="shared" si="16"/>
        <v>10704</v>
      </c>
      <c r="O17" s="136">
        <f>VLOOKUP($C17,COMPONENTS!$A:$Q,8,FALSE)</f>
        <v>0</v>
      </c>
      <c r="P17" s="136">
        <f>VLOOKUP($C17,COMPONENTS!$A:$Q,9,FALSE)</f>
        <v>7</v>
      </c>
      <c r="Q17" s="137" t="str">
        <f>HYPERLINK(VLOOKUP($C17,COMPONENTS!$A:$Q,16,FALSE),"info")</f>
        <v>info</v>
      </c>
      <c r="R17" s="138">
        <f>VLOOKUP($C17,COMPONENTS!$A:$Q,10,FALSE)</f>
        <v>0</v>
      </c>
      <c r="S17" s="138">
        <f>VLOOKUP($C17,COMPONENTS!$A:$Q,11,FALSE)</f>
        <v>0</v>
      </c>
      <c r="T17" s="221">
        <f>VLOOKUP($C17,COMPONENTS!$A:$Q,12,FALSE)</f>
        <v>32</v>
      </c>
      <c r="U17" s="138">
        <f>VLOOKUP($C17,COMPONENTS!$A:$Q,13,FALSE)</f>
        <v>0</v>
      </c>
      <c r="V17" s="138">
        <f>VLOOKUP($C17,COMPONENTS!$A:$Q,14,FALSE)</f>
        <v>0</v>
      </c>
      <c r="W17" s="138">
        <f>VLOOKUP($C17,COMPONENTS!$A:$Q,15,FALSE)</f>
        <v>0</v>
      </c>
    </row>
    <row r="18" spans="1:23" ht="15.75" customHeight="1" x14ac:dyDescent="0.15">
      <c r="A18" s="126" t="s">
        <v>373</v>
      </c>
      <c r="B18" s="126" t="str">
        <f>VLOOKUP($C18,COMPONENTS!$A:$Q,2,FALSE)</f>
        <v>NIC</v>
      </c>
      <c r="C18" s="156" t="str">
        <f>IF(Params!C13="S-QCT","GTC160005","GTC160019")</f>
        <v>GTC160019</v>
      </c>
      <c r="D18" s="128" t="str">
        <f>VLOOKUP($C18,COMPONENTS!$A:$Q,3,FALSE)</f>
        <v>Supermicro Add-On Card - AOC-MHIBF-m2Q2G - ConnectX-3 - 40GbE</v>
      </c>
      <c r="E18" s="160">
        <f>E15/2</f>
        <v>1</v>
      </c>
      <c r="F18" s="160">
        <f t="shared" si="12"/>
        <v>6</v>
      </c>
      <c r="G18" s="208">
        <f t="shared" si="13"/>
        <v>6</v>
      </c>
      <c r="H18" s="131">
        <f t="shared" si="14"/>
        <v>552.5</v>
      </c>
      <c r="I18" s="132">
        <f>VLOOKUP($C18,COMPONENTS!$A:$Q,6,FALSE)</f>
        <v>682.5</v>
      </c>
      <c r="J18" s="133">
        <f>VLOOKUP($C18,COMPONENTS!$A:$Q,7,FALSE)</f>
        <v>650</v>
      </c>
      <c r="K18" s="134" t="s">
        <v>308</v>
      </c>
      <c r="L18" s="135">
        <f t="shared" si="17"/>
        <v>6</v>
      </c>
      <c r="M18" s="135">
        <f t="shared" si="15"/>
        <v>4095</v>
      </c>
      <c r="N18" s="135">
        <f t="shared" si="16"/>
        <v>3900</v>
      </c>
      <c r="O18" s="136">
        <f>VLOOKUP($C18,COMPONENTS!$A:$Q,8,FALSE)</f>
        <v>0</v>
      </c>
      <c r="P18" s="136">
        <f>VLOOKUP($C18,COMPONENTS!$A:$Q,9,FALSE)</f>
        <v>0</v>
      </c>
      <c r="Q18" s="137" t="str">
        <f>HYPERLINK(VLOOKUP($C18,COMPONENTS!$A:$Q,16,FALSE),"info")</f>
        <v>info</v>
      </c>
      <c r="R18" s="138">
        <f>VLOOKUP($C18,COMPONENTS!$A:$Q,10,FALSE)</f>
        <v>0</v>
      </c>
      <c r="S18" s="138">
        <f>VLOOKUP($C18,COMPONENTS!$A:$Q,11,FALSE)</f>
        <v>0</v>
      </c>
      <c r="T18" s="221">
        <f>VLOOKUP($C18,COMPONENTS!$A:$Q,12,FALSE)</f>
        <v>0</v>
      </c>
      <c r="U18" s="138">
        <f>VLOOKUP($C18,COMPONENTS!$A:$Q,13,FALSE)</f>
        <v>0</v>
      </c>
      <c r="V18" s="138">
        <f>VLOOKUP($C18,COMPONENTS!$A:$Q,14,FALSE)</f>
        <v>0</v>
      </c>
      <c r="W18" s="138">
        <f>VLOOKUP($C18,COMPONENTS!$A:$Q,15,FALSE)</f>
        <v>0</v>
      </c>
    </row>
    <row r="19" spans="1:23" ht="15.75" customHeight="1" x14ac:dyDescent="0.15">
      <c r="A19" s="126" t="s">
        <v>373</v>
      </c>
      <c r="B19" s="126" t="str">
        <f>VLOOKUP($C19,COMPONENTS!$A:$Q,2,FALSE)</f>
        <v>Storage - SSD</v>
      </c>
      <c r="C19" s="127" t="str">
        <f>Params!C36</f>
        <v>GTC130025</v>
      </c>
      <c r="D19" s="128" t="str">
        <f>VLOOKUP($C19,COMPONENTS!$A:$Q,3,FALSE)</f>
        <v>Intel SSD, D3-S4610, 960GB SATA 6Gb/s 3D TLC 2.5" 7mm 3DWPD</v>
      </c>
      <c r="E19" s="129">
        <f>Params!C37</f>
        <v>2</v>
      </c>
      <c r="F19" s="160">
        <f t="shared" si="12"/>
        <v>12</v>
      </c>
      <c r="G19" s="208">
        <f t="shared" si="13"/>
        <v>12</v>
      </c>
      <c r="H19" s="131">
        <f t="shared" si="14"/>
        <v>212.5</v>
      </c>
      <c r="I19" s="132">
        <f>VLOOKUP($C19,COMPONENTS!$A:$Q,6,FALSE)</f>
        <v>262.5</v>
      </c>
      <c r="J19" s="133">
        <f>VLOOKUP($C19,COMPONENTS!$A:$Q,7,FALSE)</f>
        <v>250</v>
      </c>
      <c r="K19" s="134" t="s">
        <v>308</v>
      </c>
      <c r="L19" s="135">
        <f>L21</f>
        <v>6</v>
      </c>
      <c r="M19" s="135">
        <f t="shared" si="15"/>
        <v>3150</v>
      </c>
      <c r="N19" s="135">
        <f t="shared" si="16"/>
        <v>3000</v>
      </c>
      <c r="O19" s="136">
        <f>VLOOKUP($C19,COMPONENTS!$A:$Q,8,FALSE)</f>
        <v>0</v>
      </c>
      <c r="P19" s="136">
        <f>VLOOKUP($C19,COMPONENTS!$A:$Q,9,FALSE)</f>
        <v>3</v>
      </c>
      <c r="Q19" s="137" t="str">
        <f>HYPERLINK(VLOOKUP($C19,COMPONENTS!$A:$Q,16,FALSE),"info")</f>
        <v>info</v>
      </c>
      <c r="R19" s="138">
        <f>VLOOKUP($C19,COMPONENTS!$A:$Q,10,FALSE)</f>
        <v>0.98</v>
      </c>
      <c r="S19" s="138">
        <f>VLOOKUP($C19,COMPONENTS!$A:$Q,11,FALSE)</f>
        <v>0</v>
      </c>
      <c r="T19" s="221">
        <f>VLOOKUP($C19,COMPONENTS!$A:$Q,12,FALSE)</f>
        <v>0</v>
      </c>
      <c r="U19" s="138">
        <f>VLOOKUP($C19,COMPONENTS!$A:$Q,13,FALSE)</f>
        <v>0</v>
      </c>
      <c r="V19" s="138">
        <f>VLOOKUP($C19,COMPONENTS!$A:$Q,14,FALSE)</f>
        <v>0</v>
      </c>
      <c r="W19" s="138">
        <f>VLOOKUP($C19,COMPONENTS!$A:$Q,15,FALSE)</f>
        <v>0</v>
      </c>
    </row>
    <row r="20" spans="1:23" ht="15.75" customHeight="1" x14ac:dyDescent="0.15">
      <c r="A20" s="126" t="s">
        <v>373</v>
      </c>
      <c r="B20" s="126" t="str">
        <f>VLOOKUP($C20,COMPONENTS!$A:$Q,2,FALSE)</f>
        <v>Storage - SSD</v>
      </c>
      <c r="C20" s="127" t="str">
        <f>Params!C38</f>
        <v>GTC130025</v>
      </c>
      <c r="D20" s="128" t="str">
        <f>VLOOKUP($C20,COMPONENTS!$A:$Q,3,FALSE)</f>
        <v>Intel SSD, D3-S4610, 960GB SATA 6Gb/s 3D TLC 2.5" 7mm 3DWPD</v>
      </c>
      <c r="E20" s="129">
        <f>Params!C39</f>
        <v>2</v>
      </c>
      <c r="F20" s="160">
        <f t="shared" si="12"/>
        <v>12</v>
      </c>
      <c r="G20" s="208">
        <f t="shared" si="13"/>
        <v>12</v>
      </c>
      <c r="H20" s="131">
        <f t="shared" si="14"/>
        <v>212.5</v>
      </c>
      <c r="I20" s="132">
        <f>VLOOKUP($C20,COMPONENTS!$A:$Q,6,FALSE)</f>
        <v>262.5</v>
      </c>
      <c r="J20" s="133">
        <f>VLOOKUP($C20,COMPONENTS!$A:$Q,7,FALSE)</f>
        <v>250</v>
      </c>
      <c r="K20" s="134" t="s">
        <v>308</v>
      </c>
      <c r="L20" s="135">
        <f>L19</f>
        <v>6</v>
      </c>
      <c r="M20" s="135">
        <f t="shared" si="15"/>
        <v>3150</v>
      </c>
      <c r="N20" s="135">
        <f t="shared" si="16"/>
        <v>3000</v>
      </c>
      <c r="O20" s="136">
        <f>VLOOKUP($C20,COMPONENTS!$A:$Q,8,FALSE)</f>
        <v>0</v>
      </c>
      <c r="P20" s="136">
        <f>VLOOKUP($C20,COMPONENTS!$A:$Q,9,FALSE)</f>
        <v>3</v>
      </c>
      <c r="Q20" s="137" t="str">
        <f>HYPERLINK(VLOOKUP($C20,COMPONENTS!$A:$Q,16,FALSE),"info")</f>
        <v>info</v>
      </c>
      <c r="R20" s="138">
        <f>VLOOKUP($C20,COMPONENTS!$A:$Q,10,FALSE)</f>
        <v>0.98</v>
      </c>
      <c r="S20" s="138">
        <f>VLOOKUP($C20,COMPONENTS!$A:$Q,11,FALSE)</f>
        <v>0</v>
      </c>
      <c r="T20" s="221">
        <f>VLOOKUP($C20,COMPONENTS!$A:$Q,12,FALSE)</f>
        <v>0</v>
      </c>
      <c r="U20" s="138">
        <f>VLOOKUP($C20,COMPONENTS!$A:$Q,13,FALSE)</f>
        <v>0</v>
      </c>
      <c r="V20" s="138">
        <f>VLOOKUP($C20,COMPONENTS!$A:$Q,14,FALSE)</f>
        <v>0</v>
      </c>
      <c r="W20" s="138">
        <f>VLOOKUP($C20,COMPONENTS!$A:$Q,15,FALSE)</f>
        <v>0</v>
      </c>
    </row>
    <row r="21" spans="1:23" ht="15.75" customHeight="1" x14ac:dyDescent="0.15">
      <c r="A21" s="126" t="s">
        <v>373</v>
      </c>
      <c r="B21" s="126" t="str">
        <f>VLOOKUP($C21,COMPONENTS!$A:$Q,2,FALSE)</f>
        <v>Storage - HDD</v>
      </c>
      <c r="C21" s="127" t="str">
        <f>Params!C40</f>
        <v>GTC130018</v>
      </c>
      <c r="D21" s="128" t="str">
        <f>VLOOKUP($C21,COMPONENTS!$A:$Q,3,FALSE)</f>
        <v>Seagate HDD, 10TB, 3.5", SATA - ST10000NM0016</v>
      </c>
      <c r="E21" s="129">
        <f>Params!C41</f>
        <v>18</v>
      </c>
      <c r="F21" s="160">
        <f t="shared" si="12"/>
        <v>108</v>
      </c>
      <c r="G21" s="208">
        <f t="shared" si="13"/>
        <v>108</v>
      </c>
      <c r="H21" s="131">
        <f t="shared" si="14"/>
        <v>255</v>
      </c>
      <c r="I21" s="132">
        <f>VLOOKUP($C21,COMPONENTS!$A:$Q,6,FALSE)</f>
        <v>315</v>
      </c>
      <c r="J21" s="133">
        <f>VLOOKUP($C21,COMPONENTS!$A:$Q,7,FALSE)</f>
        <v>300</v>
      </c>
      <c r="K21" s="134" t="s">
        <v>308</v>
      </c>
      <c r="L21" s="135">
        <f>L22</f>
        <v>6</v>
      </c>
      <c r="M21" s="135">
        <f t="shared" si="15"/>
        <v>34020</v>
      </c>
      <c r="N21" s="135">
        <f t="shared" si="16"/>
        <v>32400</v>
      </c>
      <c r="O21" s="136">
        <f>VLOOKUP($C21,COMPONENTS!$A:$Q,8,FALSE)</f>
        <v>0</v>
      </c>
      <c r="P21" s="136">
        <f>VLOOKUP($C21,COMPONENTS!$A:$Q,9,FALSE)</f>
        <v>6.8</v>
      </c>
      <c r="Q21" s="137" t="str">
        <f>HYPERLINK(VLOOKUP($C21,COMPONENTS!$A:$Q,16,FALSE),"info")</f>
        <v>info</v>
      </c>
      <c r="R21" s="138">
        <f>VLOOKUP($C21,COMPONENTS!$A:$Q,10,FALSE)</f>
        <v>0</v>
      </c>
      <c r="S21" s="138">
        <f>VLOOKUP($C21,COMPONENTS!$A:$Q,11,FALSE)</f>
        <v>10</v>
      </c>
      <c r="T21" s="221">
        <f>VLOOKUP($C21,COMPONENTS!$A:$Q,12,FALSE)</f>
        <v>0</v>
      </c>
      <c r="U21" s="138">
        <f>VLOOKUP($C21,COMPONENTS!$A:$Q,13,FALSE)</f>
        <v>0</v>
      </c>
      <c r="V21" s="138">
        <f>VLOOKUP($C21,COMPONENTS!$A:$Q,14,FALSE)</f>
        <v>0</v>
      </c>
      <c r="W21" s="138">
        <f>VLOOKUP($C21,COMPONENTS!$A:$Q,15,FALSE)</f>
        <v>0</v>
      </c>
    </row>
    <row r="22" spans="1:23" ht="15.75" hidden="1" customHeight="1" x14ac:dyDescent="0.15">
      <c r="A22" s="126" t="s">
        <v>373</v>
      </c>
      <c r="B22" s="126" t="str">
        <f>VLOOKUP($C22,COMPONENTS!$A:$Q,2,FALSE)</f>
        <v>.</v>
      </c>
      <c r="C22" s="240" t="s">
        <v>73</v>
      </c>
      <c r="D22" s="128">
        <f>VLOOKUP($C22,COMPONENTS!$A:$Q,3,FALSE)</f>
        <v>0</v>
      </c>
      <c r="E22" s="241">
        <f>E21*S21</f>
        <v>180</v>
      </c>
      <c r="F22" s="160">
        <f t="shared" si="12"/>
        <v>1080</v>
      </c>
      <c r="G22" s="208">
        <f t="shared" si="13"/>
        <v>1080</v>
      </c>
      <c r="H22" s="131">
        <f t="shared" si="14"/>
        <v>0</v>
      </c>
      <c r="I22" s="132">
        <f>VLOOKUP($C22,COMPONENTS!$A:$Q,6,FALSE)</f>
        <v>0</v>
      </c>
      <c r="J22" s="133">
        <f>VLOOKUP($C22,COMPONENTS!$A:$Q,7,FALSE)</f>
        <v>0</v>
      </c>
      <c r="K22" s="134" t="s">
        <v>308</v>
      </c>
      <c r="L22" s="135">
        <f>L18</f>
        <v>6</v>
      </c>
      <c r="M22" s="135">
        <f t="shared" si="15"/>
        <v>0</v>
      </c>
      <c r="N22" s="135">
        <f t="shared" si="16"/>
        <v>0</v>
      </c>
      <c r="O22" s="136">
        <f>VLOOKUP($C22,COMPONENTS!$A:$Q,8,FALSE)</f>
        <v>0</v>
      </c>
      <c r="P22" s="136">
        <f>VLOOKUP($C22,COMPONENTS!$A:$Q,9,FALSE)</f>
        <v>0</v>
      </c>
      <c r="Q22" s="137" t="str">
        <f>HYPERLINK(VLOOKUP($C22,COMPONENTS!$A:$Q,16,FALSE),"info")</f>
        <v>info</v>
      </c>
      <c r="R22" s="138">
        <f>VLOOKUP($C22,COMPONENTS!$A:$Q,10,FALSE)</f>
        <v>0</v>
      </c>
      <c r="S22" s="138">
        <f>VLOOKUP($C22,COMPONENTS!$A:$Q,11,FALSE)</f>
        <v>0</v>
      </c>
      <c r="T22" s="221">
        <f>VLOOKUP($C22,COMPONENTS!$A:$Q,12,FALSE)</f>
        <v>0</v>
      </c>
      <c r="U22" s="138">
        <f>VLOOKUP($C22,COMPONENTS!$A:$Q,13,FALSE)</f>
        <v>0</v>
      </c>
      <c r="V22" s="138">
        <f>VLOOKUP($C22,COMPONENTS!$A:$Q,14,FALSE)</f>
        <v>0</v>
      </c>
      <c r="W22" s="138">
        <f>VLOOKUP($C22,COMPONENTS!$A:$Q,15,FALSE)</f>
        <v>0</v>
      </c>
    </row>
    <row r="23" spans="1:23" ht="15.75" customHeight="1" x14ac:dyDescent="0.15">
      <c r="A23" s="245"/>
      <c r="B23" s="246"/>
      <c r="C23" s="247" t="s">
        <v>361</v>
      </c>
      <c r="D23" s="246"/>
      <c r="E23" s="246"/>
      <c r="F23" s="248"/>
      <c r="G23" s="248"/>
      <c r="H23" s="249">
        <f t="shared" ref="H23:I23" si="18">SUMPRODUCT($E14:$E22,H14:H22)</f>
        <v>12328.4</v>
      </c>
      <c r="I23" s="251">
        <f t="shared" si="18"/>
        <v>15229.2</v>
      </c>
      <c r="J23" s="251">
        <f>E14*J14+E15*J15+E16*J16+E17*J17+E18*J18+E19*J19+E20*J20+E21*J21</f>
        <v>14504</v>
      </c>
      <c r="K23" s="260"/>
      <c r="L23" s="260"/>
      <c r="M23" s="260"/>
      <c r="N23" s="260"/>
      <c r="O23" s="261">
        <f t="shared" ref="O23:P23" si="19">SUMPRODUCT($E14:$E21,O14:O21)</f>
        <v>2</v>
      </c>
      <c r="P23" s="261">
        <f t="shared" si="19"/>
        <v>893.4</v>
      </c>
      <c r="Q23" s="260"/>
      <c r="R23" s="263">
        <f t="shared" ref="R23:W23" si="20">SUMPRODUCT($E14:$E21,R14:R21)</f>
        <v>4.92</v>
      </c>
      <c r="S23" s="261">
        <f t="shared" si="20"/>
        <v>180</v>
      </c>
      <c r="T23" s="261">
        <f t="shared" si="20"/>
        <v>256</v>
      </c>
      <c r="U23" s="261">
        <f t="shared" si="20"/>
        <v>48</v>
      </c>
      <c r="V23" s="261">
        <f t="shared" si="20"/>
        <v>0</v>
      </c>
      <c r="W23" s="264">
        <f t="shared" si="20"/>
        <v>1</v>
      </c>
    </row>
    <row r="24" spans="1:23" ht="15.75" customHeight="1" x14ac:dyDescent="0.15">
      <c r="A24" s="265"/>
      <c r="B24" s="266"/>
      <c r="C24" s="198" t="s">
        <v>368</v>
      </c>
      <c r="D24" s="266"/>
      <c r="E24" s="267">
        <f>Params!C34</f>
        <v>6</v>
      </c>
      <c r="F24" s="267"/>
      <c r="G24" s="267"/>
      <c r="H24" s="268">
        <f>E24*H23</f>
        <v>73970.399999999994</v>
      </c>
      <c r="I24" s="269">
        <f>E24*I23</f>
        <v>91375.200000000012</v>
      </c>
      <c r="J24" s="269">
        <f>E24*J23</f>
        <v>87024</v>
      </c>
      <c r="K24" s="271"/>
      <c r="L24" s="271"/>
      <c r="M24" s="271"/>
      <c r="N24" s="271"/>
      <c r="O24" s="272">
        <f t="shared" ref="O24:P24" si="21">O23*$E24</f>
        <v>12</v>
      </c>
      <c r="P24" s="272">
        <f t="shared" si="21"/>
        <v>5360.4</v>
      </c>
      <c r="Q24" s="266"/>
      <c r="R24" s="273">
        <f t="shared" ref="R24:W24" si="22">R23*$E24</f>
        <v>29.52</v>
      </c>
      <c r="S24" s="272">
        <f t="shared" si="22"/>
        <v>1080</v>
      </c>
      <c r="T24" s="272">
        <f t="shared" si="22"/>
        <v>1536</v>
      </c>
      <c r="U24" s="272">
        <f t="shared" si="22"/>
        <v>288</v>
      </c>
      <c r="V24" s="272">
        <f t="shared" si="22"/>
        <v>0</v>
      </c>
      <c r="W24" s="274">
        <f t="shared" si="22"/>
        <v>6</v>
      </c>
    </row>
    <row r="25" spans="1:23" ht="15.75" customHeight="1" x14ac:dyDescent="0.15">
      <c r="A25" s="126" t="s">
        <v>499</v>
      </c>
      <c r="B25" s="126" t="str">
        <f>VLOOKUP($C25,COMPONENTS!$A:$Q,2,FALSE)</f>
        <v>Chassis</v>
      </c>
      <c r="C25" s="156" t="str">
        <f>IF(Params!C13="S-QCT","GTC100001","GTC100011")</f>
        <v>GTC100011</v>
      </c>
      <c r="D25" s="128" t="str">
        <f>VLOOKUP($C25,COMPONENTS!$A:$Q,3,FALSE)</f>
        <v>SuperServer 5019C-MR</v>
      </c>
      <c r="E25" s="275">
        <v>1</v>
      </c>
      <c r="F25" s="160">
        <f t="shared" ref="F25:F28" si="23">$E$30*E25</f>
        <v>3</v>
      </c>
      <c r="G25" s="208">
        <f t="shared" ref="G25:G28" si="24">$C$47*F25</f>
        <v>3</v>
      </c>
      <c r="H25" s="131">
        <f t="shared" ref="H25:H28" si="25">J25*0.85</f>
        <v>1275</v>
      </c>
      <c r="I25" s="132">
        <f>VLOOKUP($C25,COMPONENTS!$A:$Q,6,FALSE)</f>
        <v>1575</v>
      </c>
      <c r="J25" s="133">
        <f>VLOOKUP($C25,COMPONENTS!$A:$Q,7,FALSE)</f>
        <v>1500</v>
      </c>
      <c r="K25" s="134" t="s">
        <v>510</v>
      </c>
      <c r="L25" s="135">
        <f>E30</f>
        <v>3</v>
      </c>
      <c r="M25" s="135">
        <f t="shared" ref="M25:M28" si="26">E25*I25*L25</f>
        <v>4725</v>
      </c>
      <c r="N25" s="135">
        <f t="shared" ref="N25:N28" si="27">E25*J25*L25</f>
        <v>4500</v>
      </c>
      <c r="O25" s="136">
        <f>VLOOKUP($C25,COMPONENTS!$A:$Q,8,FALSE)</f>
        <v>1</v>
      </c>
      <c r="P25" s="136">
        <f>VLOOKUP($C25,COMPONENTS!$A:$Q,9,FALSE)</f>
        <v>100</v>
      </c>
      <c r="Q25" s="137" t="str">
        <f>HYPERLINK(VLOOKUP($C25,COMPONENTS!$A:$Q,16,FALSE),"info")</f>
        <v>info</v>
      </c>
      <c r="R25" s="138">
        <f>VLOOKUP($C25,COMPONENTS!$A:$Q,10,FALSE)</f>
        <v>0</v>
      </c>
      <c r="S25" s="138">
        <f>VLOOKUP($C25,COMPONENTS!$A:$Q,11,FALSE)</f>
        <v>0</v>
      </c>
      <c r="T25" s="138">
        <f>VLOOKUP($C25,COMPONENTS!$A:$Q,12,FALSE)</f>
        <v>0</v>
      </c>
      <c r="U25" s="138">
        <f>VLOOKUP($C25,COMPONENTS!$A:$Q,13,FALSE)</f>
        <v>0</v>
      </c>
      <c r="V25" s="136">
        <f>VLOOKUP($C25,COMPONENTS!$A:$Q,14,FALSE)</f>
        <v>0</v>
      </c>
      <c r="W25" s="138">
        <f>VLOOKUP($C25,COMPONENTS!$A:$Q,15,FALSE)</f>
        <v>1</v>
      </c>
    </row>
    <row r="26" spans="1:23" ht="15.75" customHeight="1" x14ac:dyDescent="0.15">
      <c r="A26" s="126" t="s">
        <v>499</v>
      </c>
      <c r="B26" s="126" t="str">
        <f>VLOOKUP($C26,COMPONENTS!$A:$Q,2,FALSE)</f>
        <v>Memory</v>
      </c>
      <c r="C26" s="280" t="str">
        <f>IF(Params!C13="S-QCT","GTC120003","GTC120013")</f>
        <v>GTC120013</v>
      </c>
      <c r="D26" s="128" t="str">
        <f>VLOOKUP($C26,COMPONENTS!$A:$Q,3,FALSE)</f>
        <v>Samsung Memory, 8Gb, Supermicro OEM, MEM-DR480L-HL01-EU26</v>
      </c>
      <c r="E26" s="275">
        <f>IF(Params!C13="S-QCT",12,4)</f>
        <v>4</v>
      </c>
      <c r="F26" s="160">
        <f t="shared" si="23"/>
        <v>12</v>
      </c>
      <c r="G26" s="208">
        <f t="shared" si="24"/>
        <v>12</v>
      </c>
      <c r="H26" s="131">
        <f t="shared" si="25"/>
        <v>62.9</v>
      </c>
      <c r="I26" s="132">
        <f>VLOOKUP($C26,COMPONENTS!$A:$Q,6,FALSE)</f>
        <v>77.7</v>
      </c>
      <c r="J26" s="133">
        <f>VLOOKUP($C26,COMPONENTS!$A:$Q,7,FALSE)</f>
        <v>74</v>
      </c>
      <c r="K26" s="134" t="s">
        <v>510</v>
      </c>
      <c r="L26" s="135">
        <f t="shared" ref="L26:L28" si="28">L25</f>
        <v>3</v>
      </c>
      <c r="M26" s="135">
        <f t="shared" si="26"/>
        <v>932.40000000000009</v>
      </c>
      <c r="N26" s="135">
        <f t="shared" si="27"/>
        <v>888</v>
      </c>
      <c r="O26" s="136">
        <f>VLOOKUP($C26,COMPONENTS!$A:$Q,8,FALSE)</f>
        <v>0</v>
      </c>
      <c r="P26" s="136">
        <f>VLOOKUP($C26,COMPONENTS!$A:$Q,9,FALSE)</f>
        <v>6</v>
      </c>
      <c r="Q26" s="137" t="str">
        <f>HYPERLINK(VLOOKUP($C26,COMPONENTS!$A:$Q,16,FALSE),"info")</f>
        <v>info</v>
      </c>
      <c r="R26" s="138">
        <f>VLOOKUP($C26,COMPONENTS!$A:$Q,10,FALSE)</f>
        <v>0</v>
      </c>
      <c r="S26" s="138">
        <f>VLOOKUP($C26,COMPONENTS!$A:$Q,11,FALSE)</f>
        <v>0</v>
      </c>
      <c r="T26" s="138">
        <f>VLOOKUP($C26,COMPONENTS!$A:$Q,12,FALSE)</f>
        <v>8</v>
      </c>
      <c r="U26" s="138">
        <f>VLOOKUP($C26,COMPONENTS!$A:$Q,13,FALSE)</f>
        <v>0</v>
      </c>
      <c r="V26" s="138">
        <f>VLOOKUP($C26,COMPONENTS!$A:$Q,14,FALSE)</f>
        <v>0</v>
      </c>
      <c r="W26" s="138">
        <f>VLOOKUP($C26,COMPONENTS!$A:$Q,15,FALSE)</f>
        <v>0</v>
      </c>
    </row>
    <row r="27" spans="1:23" ht="15.75" customHeight="1" x14ac:dyDescent="0.15">
      <c r="A27" s="126" t="s">
        <v>499</v>
      </c>
      <c r="B27" s="126" t="str">
        <f>VLOOKUP($C27,COMPONENTS!$A:$Q,2,FALSE)</f>
        <v>Storage - SSD</v>
      </c>
      <c r="C27" s="156" t="s">
        <v>93</v>
      </c>
      <c r="D27" s="128" t="str">
        <f>VLOOKUP($C27,COMPONENTS!$A:$Q,3,FALSE)</f>
        <v>Samsung SSD, PM863a, 480GB, 2.5", SATA, PM863a - MZ7LM480HMHQ</v>
      </c>
      <c r="E27" s="160">
        <f>IF(Params!C13="S-QCT",6,2)</f>
        <v>2</v>
      </c>
      <c r="F27" s="160">
        <f t="shared" si="23"/>
        <v>6</v>
      </c>
      <c r="G27" s="208">
        <f t="shared" si="24"/>
        <v>6</v>
      </c>
      <c r="H27" s="131">
        <f t="shared" si="25"/>
        <v>235.62000000000003</v>
      </c>
      <c r="I27" s="132">
        <f>VLOOKUP($C27,COMPONENTS!$A:$Q,6,FALSE)</f>
        <v>291.06000000000006</v>
      </c>
      <c r="J27" s="133">
        <f>VLOOKUP($C27,COMPONENTS!$A:$Q,7,FALSE)</f>
        <v>277.20000000000005</v>
      </c>
      <c r="K27" s="134" t="s">
        <v>510</v>
      </c>
      <c r="L27" s="135">
        <f t="shared" si="28"/>
        <v>3</v>
      </c>
      <c r="M27" s="135">
        <f t="shared" si="26"/>
        <v>1746.3600000000004</v>
      </c>
      <c r="N27" s="135">
        <f t="shared" si="27"/>
        <v>1663.2000000000003</v>
      </c>
      <c r="O27" s="136">
        <f>VLOOKUP($C27,COMPONENTS!$A:$Q,8,FALSE)</f>
        <v>0</v>
      </c>
      <c r="P27" s="136">
        <f>VLOOKUP($C27,COMPONENTS!$A:$Q,9,FALSE)</f>
        <v>6</v>
      </c>
      <c r="Q27" s="137" t="str">
        <f>HYPERLINK(VLOOKUP($C27,COMPONENTS!$A:$Q,16,FALSE),"info")</f>
        <v>info</v>
      </c>
      <c r="R27" s="138">
        <f>VLOOKUP($C27,COMPONENTS!$A:$Q,10,FALSE)</f>
        <v>0.47</v>
      </c>
      <c r="S27" s="138">
        <f>VLOOKUP($C27,COMPONENTS!$A:$Q,11,FALSE)</f>
        <v>0</v>
      </c>
      <c r="T27" s="138">
        <f>VLOOKUP($C27,COMPONENTS!$A:$Q,12,FALSE)</f>
        <v>0</v>
      </c>
      <c r="U27" s="138">
        <f>VLOOKUP($C27,COMPONENTS!$A:$Q,13,FALSE)</f>
        <v>0</v>
      </c>
      <c r="V27" s="138">
        <f>VLOOKUP($C27,COMPONENTS!$A:$Q,14,FALSE)</f>
        <v>0</v>
      </c>
      <c r="W27" s="138">
        <f>VLOOKUP($C27,COMPONENTS!$A:$Q,15,FALSE)</f>
        <v>0</v>
      </c>
    </row>
    <row r="28" spans="1:23" ht="15.75" customHeight="1" x14ac:dyDescent="0.15">
      <c r="A28" s="126" t="s">
        <v>499</v>
      </c>
      <c r="B28" s="126" t="str">
        <f>VLOOKUP($C28,COMPONENTS!$A:$Q,2,FALSE)</f>
        <v>CPU</v>
      </c>
      <c r="C28" s="156" t="s">
        <v>283</v>
      </c>
      <c r="D28" s="128" t="str">
        <f>VLOOKUP($C28,COMPONENTS!$A:$Q,3,FALSE)</f>
        <v>Intel Xeon Processor, 3.10GHz, 8MB cache, LGA1150 - E3-1220V3</v>
      </c>
      <c r="E28" s="160">
        <f>IF(Params!C13="S-QCT",3,1)</f>
        <v>1</v>
      </c>
      <c r="F28" s="160">
        <f t="shared" si="23"/>
        <v>3</v>
      </c>
      <c r="G28" s="208">
        <f t="shared" si="24"/>
        <v>3</v>
      </c>
      <c r="H28" s="131">
        <f t="shared" si="25"/>
        <v>170</v>
      </c>
      <c r="I28" s="132">
        <f>VLOOKUP($C28,COMPONENTS!$A:$Q,6,FALSE)</f>
        <v>210</v>
      </c>
      <c r="J28" s="133">
        <f>VLOOKUP($C28,COMPONENTS!$A:$Q,7,FALSE)</f>
        <v>200</v>
      </c>
      <c r="K28" s="134" t="s">
        <v>510</v>
      </c>
      <c r="L28" s="135">
        <f t="shared" si="28"/>
        <v>3</v>
      </c>
      <c r="M28" s="135">
        <f t="shared" si="26"/>
        <v>630</v>
      </c>
      <c r="N28" s="135">
        <f t="shared" si="27"/>
        <v>600</v>
      </c>
      <c r="O28" s="136">
        <f>VLOOKUP($C28,COMPONENTS!$A:$Q,8,FALSE)</f>
        <v>0</v>
      </c>
      <c r="P28" s="136">
        <f>VLOOKUP($C28,COMPONENTS!$A:$Q,9,FALSE)</f>
        <v>56</v>
      </c>
      <c r="Q28" s="137" t="str">
        <f>HYPERLINK(VLOOKUP($C28,COMPONENTS!$A:$Q,16,FALSE),"info")</f>
        <v>info</v>
      </c>
      <c r="R28" s="138">
        <f>VLOOKUP($C28,COMPONENTS!$A:$Q,10,FALSE)</f>
        <v>0</v>
      </c>
      <c r="S28" s="138">
        <f>VLOOKUP($C28,COMPONENTS!$A:$Q,11,FALSE)</f>
        <v>0</v>
      </c>
      <c r="T28" s="138">
        <f>VLOOKUP($C28,COMPONENTS!$A:$Q,12,FALSE)</f>
        <v>0</v>
      </c>
      <c r="U28" s="138">
        <f>VLOOKUP($C28,COMPONENTS!$A:$Q,13,FALSE)</f>
        <v>4</v>
      </c>
      <c r="V28" s="136">
        <f>VLOOKUP($C28,COMPONENTS!$A:$Q,14,FALSE)</f>
        <v>6500</v>
      </c>
      <c r="W28" s="138">
        <f>VLOOKUP($C28,COMPONENTS!$A:$Q,15,FALSE)</f>
        <v>0</v>
      </c>
    </row>
    <row r="29" spans="1:23" ht="15.75" customHeight="1" x14ac:dyDescent="0.15">
      <c r="A29" s="245"/>
      <c r="B29" s="246"/>
      <c r="C29" s="247" t="s">
        <v>361</v>
      </c>
      <c r="D29" s="246"/>
      <c r="E29" s="246"/>
      <c r="F29" s="248"/>
      <c r="G29" s="248"/>
      <c r="H29" s="249">
        <f t="shared" ref="H29:J29" si="29">SUMPRODUCT($E25:$E28,H25:H28)</f>
        <v>2167.84</v>
      </c>
      <c r="I29" s="251">
        <f t="shared" si="29"/>
        <v>2677.92</v>
      </c>
      <c r="J29" s="251">
        <f t="shared" si="29"/>
        <v>2550.4</v>
      </c>
      <c r="K29" s="260"/>
      <c r="L29" s="260"/>
      <c r="M29" s="260"/>
      <c r="N29" s="260"/>
      <c r="O29" s="261">
        <f t="shared" ref="O29:P29" si="30">SUMPRODUCT($E25:$E28,O25:O28)</f>
        <v>1</v>
      </c>
      <c r="P29" s="261">
        <f t="shared" si="30"/>
        <v>192</v>
      </c>
      <c r="Q29" s="260"/>
      <c r="R29" s="263">
        <f t="shared" ref="R29:W29" si="31">SUMPRODUCT($E25:$E28,R25:R28)</f>
        <v>0.94</v>
      </c>
      <c r="S29" s="261">
        <f t="shared" si="31"/>
        <v>0</v>
      </c>
      <c r="T29" s="261">
        <f t="shared" si="31"/>
        <v>32</v>
      </c>
      <c r="U29" s="261">
        <f t="shared" si="31"/>
        <v>4</v>
      </c>
      <c r="V29" s="261">
        <f t="shared" si="31"/>
        <v>6500</v>
      </c>
      <c r="W29" s="264">
        <f t="shared" si="31"/>
        <v>1</v>
      </c>
    </row>
    <row r="30" spans="1:23" ht="15.75" customHeight="1" x14ac:dyDescent="0.15">
      <c r="A30" s="265"/>
      <c r="B30" s="266"/>
      <c r="C30" s="198" t="s">
        <v>368</v>
      </c>
      <c r="D30" s="266"/>
      <c r="E30" s="267">
        <f>IF(Params!C13="S-QCT",1,3)</f>
        <v>3</v>
      </c>
      <c r="F30" s="267"/>
      <c r="G30" s="267"/>
      <c r="H30" s="268">
        <f>E30*H29</f>
        <v>6503.52</v>
      </c>
      <c r="I30" s="269">
        <f>E30*I29</f>
        <v>8033.76</v>
      </c>
      <c r="J30" s="269">
        <f>E30*J29</f>
        <v>7651.2000000000007</v>
      </c>
      <c r="K30" s="271"/>
      <c r="L30" s="271"/>
      <c r="M30" s="271"/>
      <c r="N30" s="271"/>
      <c r="O30" s="272">
        <f t="shared" ref="O30:P30" si="32">O29*$E30</f>
        <v>3</v>
      </c>
      <c r="P30" s="272">
        <f t="shared" si="32"/>
        <v>576</v>
      </c>
      <c r="Q30" s="266"/>
      <c r="R30" s="273">
        <f t="shared" ref="R30:W30" si="33">R29*$E30</f>
        <v>2.82</v>
      </c>
      <c r="S30" s="272">
        <f t="shared" si="33"/>
        <v>0</v>
      </c>
      <c r="T30" s="272">
        <f t="shared" si="33"/>
        <v>96</v>
      </c>
      <c r="U30" s="272">
        <f t="shared" si="33"/>
        <v>12</v>
      </c>
      <c r="V30" s="272">
        <f t="shared" si="33"/>
        <v>19500</v>
      </c>
      <c r="W30" s="274">
        <f t="shared" si="33"/>
        <v>3</v>
      </c>
    </row>
    <row r="31" spans="1:23" ht="15.75" customHeight="1" x14ac:dyDescent="0.15">
      <c r="A31" s="126" t="s">
        <v>345</v>
      </c>
      <c r="B31" s="126" t="str">
        <f>VLOOKUP($C31,COMPONENTS!$A:$Q,2,FALSE)</f>
        <v>Networking</v>
      </c>
      <c r="C31" s="126" t="str">
        <f>IF(Params!C46="100G","GTC160021",IF(Params!C17="mx",IF(2*MAX(1,ROUNDUP(I58/40,0))&gt;2,"GTC160016","GTC160006"),IF(2*MAX(1,ROUNDUP(I58/40,0))&gt;2,"GTC160016","GTC160023")))</f>
        <v>GTC160016</v>
      </c>
      <c r="D31" s="128" t="str">
        <f>VLOOKUP($C31,COMPONENTS!$A:$Q,3,FALSE)</f>
        <v>Mellanox Ethernet Switch, 36-port, 40/56GbE, full-width - MSN2700-BS2R</v>
      </c>
      <c r="E31" s="160">
        <f>IF(2*MAX(1,ROUNDUP(I58/40,0))&gt;2,2,2)</f>
        <v>2</v>
      </c>
      <c r="F31" s="160">
        <f t="shared" ref="F31:F43" si="34">$E$45*E31</f>
        <v>2</v>
      </c>
      <c r="G31" s="130">
        <f t="shared" ref="G31:G43" si="35">$C$47*F31</f>
        <v>2</v>
      </c>
      <c r="H31" s="131">
        <f t="shared" ref="H31:H43" si="36">J31*0.85</f>
        <v>8500</v>
      </c>
      <c r="I31" s="132">
        <f>VLOOKUP($C31,COMPONENTS!$A:$Q,6,FALSE)</f>
        <v>10500</v>
      </c>
      <c r="J31" s="133">
        <f>VLOOKUP($C31,COMPONENTS!$A:$Q,7,FALSE)</f>
        <v>10000</v>
      </c>
      <c r="K31" s="134" t="s">
        <v>607</v>
      </c>
      <c r="L31" s="135">
        <f t="shared" ref="L31:L33" si="37">E45</f>
        <v>1</v>
      </c>
      <c r="M31" s="135">
        <f t="shared" ref="M31:M43" si="38">E31*I31*L31</f>
        <v>21000</v>
      </c>
      <c r="N31" s="135">
        <f t="shared" ref="N31:N43" si="39">E31*J31*L31</f>
        <v>20000</v>
      </c>
      <c r="O31" s="136">
        <f>VLOOKUP($C31,COMPONENTS!$A:$Q,8,FALSE)</f>
        <v>1</v>
      </c>
      <c r="P31" s="136">
        <f>VLOOKUP($C31,COMPONENTS!$A:$Q,9,FALSE)</f>
        <v>150</v>
      </c>
      <c r="Q31" s="137" t="str">
        <f>HYPERLINK(VLOOKUP($C31,COMPONENTS!$A:$Q,16,FALSE),"info")</f>
        <v>info</v>
      </c>
      <c r="R31" s="138">
        <f>VLOOKUP($C31,COMPONENTS!$A:$Q,10,FALSE)</f>
        <v>0</v>
      </c>
      <c r="S31" s="138">
        <f>VLOOKUP($C31,COMPONENTS!$A:$Q,11,FALSE)</f>
        <v>0</v>
      </c>
      <c r="T31" s="138">
        <f>VLOOKUP($C31,COMPONENTS!$A:$Q,12,FALSE)</f>
        <v>0</v>
      </c>
      <c r="U31" s="138">
        <f>VLOOKUP($C31,COMPONENTS!$A:$Q,13,FALSE)</f>
        <v>0</v>
      </c>
      <c r="V31" s="138">
        <f>VLOOKUP($C31,COMPONENTS!$A:$Q,14,FALSE)</f>
        <v>0</v>
      </c>
      <c r="W31" s="138">
        <f>VLOOKUP($C31,COMPONENTS!$A:$Q,15,FALSE)</f>
        <v>2</v>
      </c>
    </row>
    <row r="32" spans="1:23" ht="15.75" customHeight="1" x14ac:dyDescent="0.15">
      <c r="A32" s="126" t="s">
        <v>345</v>
      </c>
      <c r="B32" s="126" t="str">
        <f>VLOOKUP($C32,COMPONENTS!$A:$Q,2,FALSE)</f>
        <v>Miscellaneous</v>
      </c>
      <c r="C32" s="156" t="str">
        <f>IF(C31="GTC160006","GTC200001",IF(C31="GTC160016","GTC200002","GTC200005"))</f>
        <v>GTC200002</v>
      </c>
      <c r="D32" s="128" t="str">
        <f>VLOOKUP($C32,COMPONENTS!$A:$Q,3,FALSE)</f>
        <v>Mellanox Rack Installation Kit for SN Series</v>
      </c>
      <c r="E32" s="160">
        <f>ROUNDUP(E31,0)</f>
        <v>2</v>
      </c>
      <c r="F32" s="160">
        <f t="shared" si="34"/>
        <v>2</v>
      </c>
      <c r="G32" s="130">
        <f t="shared" si="35"/>
        <v>2</v>
      </c>
      <c r="H32" s="131">
        <f t="shared" si="36"/>
        <v>425</v>
      </c>
      <c r="I32" s="132">
        <f>VLOOKUP($C32,COMPONENTS!$A:$Q,6,FALSE)</f>
        <v>525</v>
      </c>
      <c r="J32" s="133">
        <f>VLOOKUP($C32,COMPONENTS!$A:$Q,7,FALSE)</f>
        <v>500</v>
      </c>
      <c r="K32" s="134" t="s">
        <v>607</v>
      </c>
      <c r="L32" s="135">
        <f t="shared" si="37"/>
        <v>0</v>
      </c>
      <c r="M32" s="135">
        <f t="shared" si="38"/>
        <v>0</v>
      </c>
      <c r="N32" s="135">
        <f t="shared" si="39"/>
        <v>0</v>
      </c>
      <c r="O32" s="136">
        <f>VLOOKUP($C32,COMPONENTS!$A:$Q,8,FALSE)</f>
        <v>0</v>
      </c>
      <c r="P32" s="136">
        <f>VLOOKUP($C32,COMPONENTS!$A:$Q,9,FALSE)</f>
        <v>0</v>
      </c>
      <c r="Q32" s="137" t="str">
        <f>HYPERLINK(VLOOKUP($C32,COMPONENTS!$A:$Q,16,FALSE),"info")</f>
        <v>info</v>
      </c>
      <c r="R32" s="138">
        <f>VLOOKUP($C32,COMPONENTS!$A:$Q,10,FALSE)</f>
        <v>0</v>
      </c>
      <c r="S32" s="138">
        <f>VLOOKUP($C32,COMPONENTS!$A:$Q,11,FALSE)</f>
        <v>0</v>
      </c>
      <c r="T32" s="138">
        <f>VLOOKUP($C32,COMPONENTS!$A:$Q,12,FALSE)</f>
        <v>0</v>
      </c>
      <c r="U32" s="138">
        <f>VLOOKUP($C32,COMPONENTS!$A:$Q,13,FALSE)</f>
        <v>0</v>
      </c>
      <c r="V32" s="138">
        <f>VLOOKUP($C32,COMPONENTS!$A:$Q,14,FALSE)</f>
        <v>0</v>
      </c>
      <c r="W32" s="138">
        <f>VLOOKUP($C32,COMPONENTS!$A:$Q,15,FALSE)</f>
        <v>0</v>
      </c>
    </row>
    <row r="33" spans="1:23" ht="15.75" customHeight="1" x14ac:dyDescent="0.15">
      <c r="A33" s="126" t="s">
        <v>345</v>
      </c>
      <c r="B33" s="126" t="str">
        <f>VLOOKUP($C33,COMPONENTS!$A:$Q,2,FALSE)</f>
        <v>Miscellaneous</v>
      </c>
      <c r="C33" s="156" t="str">
        <f>IF(C31="GTC160006","GTC240001",IF(C31="GTC160016","GTC240002","GTC240003"))</f>
        <v>GTC240002</v>
      </c>
      <c r="D33" s="128" t="str">
        <f>VLOOKUP($C33,COMPONENTS!$A:$Q,3,FALSE)</f>
        <v>Mellanox Technical Support and Warranty for MSN2700-BS2R - Silver 3 Year</v>
      </c>
      <c r="E33" s="160">
        <f>IF(2*MAX(1,ROUNDUP(I60/40,0))&gt;2,2,2)</f>
        <v>2</v>
      </c>
      <c r="F33" s="160">
        <f t="shared" si="34"/>
        <v>2</v>
      </c>
      <c r="G33" s="130">
        <f t="shared" si="35"/>
        <v>2</v>
      </c>
      <c r="H33" s="131">
        <f t="shared" si="36"/>
        <v>1308.1499999999999</v>
      </c>
      <c r="I33" s="132">
        <f>VLOOKUP($C33,COMPONENTS!$A:$Q,6,FALSE)</f>
        <v>1615.95</v>
      </c>
      <c r="J33" s="133">
        <f>VLOOKUP($C33,COMPONENTS!$A:$Q,7,FALSE)</f>
        <v>1539</v>
      </c>
      <c r="K33" s="134" t="s">
        <v>607</v>
      </c>
      <c r="L33" s="135">
        <f t="shared" si="37"/>
        <v>0</v>
      </c>
      <c r="M33" s="135">
        <f t="shared" si="38"/>
        <v>0</v>
      </c>
      <c r="N33" s="135">
        <f t="shared" si="39"/>
        <v>0</v>
      </c>
      <c r="O33" s="136">
        <f>VLOOKUP($C33,COMPONENTS!$A:$Q,8,FALSE)</f>
        <v>0</v>
      </c>
      <c r="P33" s="136">
        <f>VLOOKUP($C33,COMPONENTS!$A:$Q,9,FALSE)</f>
        <v>0</v>
      </c>
      <c r="Q33" s="137" t="str">
        <f>HYPERLINK(VLOOKUP($C33,COMPONENTS!$A:$Q,16,FALSE),"info")</f>
        <v>info</v>
      </c>
      <c r="R33" s="138">
        <f>VLOOKUP($C33,COMPONENTS!$A:$Q,10,FALSE)</f>
        <v>0</v>
      </c>
      <c r="S33" s="138">
        <f>VLOOKUP($C33,COMPONENTS!$A:$Q,11,FALSE)</f>
        <v>0</v>
      </c>
      <c r="T33" s="138">
        <f>VLOOKUP($C33,COMPONENTS!$A:$Q,12,FALSE)</f>
        <v>0</v>
      </c>
      <c r="U33" s="138">
        <f>VLOOKUP($C33,COMPONENTS!$A:$Q,13,FALSE)</f>
        <v>0</v>
      </c>
      <c r="V33" s="138">
        <f>VLOOKUP($C33,COMPONENTS!$A:$Q,14,FALSE)</f>
        <v>0</v>
      </c>
      <c r="W33" s="138">
        <f>VLOOKUP($C33,COMPONENTS!$A:$Q,15,FALSE)</f>
        <v>0</v>
      </c>
    </row>
    <row r="34" spans="1:23" ht="15.75" customHeight="1" x14ac:dyDescent="0.15">
      <c r="A34" s="126" t="s">
        <v>345</v>
      </c>
      <c r="B34" s="126" t="str">
        <f>VLOOKUP($C34,COMPONENTS!$A:$Q,2,FALSE)</f>
        <v>Networking</v>
      </c>
      <c r="C34" s="156" t="str">
        <f>IF(Params!C13="S-QCT","GTC160015","GTC160020")</f>
        <v>GTC160020</v>
      </c>
      <c r="D34" s="128" t="str">
        <f>VLOOKUP($C34,COMPONENTS!$A:$Q,3,FALSE)</f>
        <v>Supermicro Layer 2/3 1/10G Ethernet SuperSwitch - SSE-G3648B/SSE-G3648BR</v>
      </c>
      <c r="E34" s="160">
        <v>1</v>
      </c>
      <c r="F34" s="160">
        <f t="shared" si="34"/>
        <v>1</v>
      </c>
      <c r="G34" s="130">
        <f t="shared" si="35"/>
        <v>1</v>
      </c>
      <c r="H34" s="131">
        <f t="shared" si="36"/>
        <v>1275</v>
      </c>
      <c r="I34" s="132">
        <f>VLOOKUP($C34,COMPONENTS!$A:$Q,6,FALSE)</f>
        <v>1575</v>
      </c>
      <c r="J34" s="133">
        <f>VLOOKUP($C34,COMPONENTS!$A:$Q,7,FALSE)</f>
        <v>1500</v>
      </c>
      <c r="K34" s="134" t="s">
        <v>607</v>
      </c>
      <c r="L34" s="135">
        <f>L31</f>
        <v>1</v>
      </c>
      <c r="M34" s="135">
        <f t="shared" si="38"/>
        <v>1575</v>
      </c>
      <c r="N34" s="135">
        <f t="shared" si="39"/>
        <v>1500</v>
      </c>
      <c r="O34" s="136">
        <f>VLOOKUP($C34,COMPONENTS!$A:$Q,8,FALSE)</f>
        <v>1</v>
      </c>
      <c r="P34" s="136">
        <f>VLOOKUP($C34,COMPONENTS!$A:$Q,9,FALSE)</f>
        <v>85</v>
      </c>
      <c r="Q34" s="137" t="str">
        <f>HYPERLINK(VLOOKUP($C34,COMPONENTS!$A:$Q,16,FALSE),"info")</f>
        <v>info</v>
      </c>
      <c r="R34" s="138">
        <f>VLOOKUP($C34,COMPONENTS!$A:$Q,10,FALSE)</f>
        <v>0</v>
      </c>
      <c r="S34" s="138">
        <f>VLOOKUP($C34,COMPONENTS!$A:$Q,11,FALSE)</f>
        <v>0</v>
      </c>
      <c r="T34" s="138">
        <f>VLOOKUP($C34,COMPONENTS!$A:$Q,12,FALSE)</f>
        <v>0</v>
      </c>
      <c r="U34" s="138">
        <f>VLOOKUP($C34,COMPONENTS!$A:$Q,13,FALSE)</f>
        <v>0</v>
      </c>
      <c r="V34" s="138">
        <f>VLOOKUP($C34,COMPONENTS!$A:$Q,14,FALSE)</f>
        <v>0</v>
      </c>
      <c r="W34" s="138">
        <f>VLOOKUP($C34,COMPONENTS!$A:$Q,15,FALSE)</f>
        <v>1</v>
      </c>
    </row>
    <row r="35" spans="1:23" ht="15.75" customHeight="1" x14ac:dyDescent="0.15">
      <c r="A35" s="126" t="s">
        <v>345</v>
      </c>
      <c r="B35" s="126" t="str">
        <f>VLOOKUP($C35,COMPONENTS!$A:$Q,2,FALSE)</f>
        <v>Networking</v>
      </c>
      <c r="C35" s="156" t="str">
        <f>IF(Params!C13="S-QCT","GTC160014","GTC160020")</f>
        <v>GTC160020</v>
      </c>
      <c r="D35" s="128" t="str">
        <f>VLOOKUP($C35,COMPONENTS!$A:$Q,3,FALSE)</f>
        <v>Supermicro Layer 2/3 1/10G Ethernet SuperSwitch - SSE-G3648B/SSE-G3648BR</v>
      </c>
      <c r="E35" s="160">
        <f>IF(((E3*2*E13)+(E14*2*IF(Params!C13="S-QCT",2,1)*E24)+(E25*2*IF(Params!C13="S-QCT",3,1)*E30)+2)&gt;48,1,0)</f>
        <v>1</v>
      </c>
      <c r="F35" s="160">
        <f t="shared" si="34"/>
        <v>1</v>
      </c>
      <c r="G35" s="130">
        <f t="shared" si="35"/>
        <v>1</v>
      </c>
      <c r="H35" s="131">
        <f t="shared" si="36"/>
        <v>1275</v>
      </c>
      <c r="I35" s="132">
        <f>VLOOKUP($C35,COMPONENTS!$A:$Q,6,FALSE)</f>
        <v>1575</v>
      </c>
      <c r="J35" s="133">
        <f>VLOOKUP($C35,COMPONENTS!$A:$Q,7,FALSE)</f>
        <v>1500</v>
      </c>
      <c r="K35" s="134" t="s">
        <v>607</v>
      </c>
      <c r="L35" s="135">
        <f t="shared" ref="L35:L39" si="40">L34</f>
        <v>1</v>
      </c>
      <c r="M35" s="135">
        <f t="shared" si="38"/>
        <v>1575</v>
      </c>
      <c r="N35" s="135">
        <f t="shared" si="39"/>
        <v>1500</v>
      </c>
      <c r="O35" s="136">
        <f>VLOOKUP($C35,COMPONENTS!$A:$Q,8,FALSE)</f>
        <v>1</v>
      </c>
      <c r="P35" s="136">
        <f>VLOOKUP($C35,COMPONENTS!$A:$Q,9,FALSE)</f>
        <v>85</v>
      </c>
      <c r="Q35" s="137" t="str">
        <f>HYPERLINK(VLOOKUP($C35,COMPONENTS!$A:$Q,16,FALSE),"info")</f>
        <v>info</v>
      </c>
      <c r="R35" s="138">
        <f>VLOOKUP($C35,COMPONENTS!$A:$Q,10,FALSE)</f>
        <v>0</v>
      </c>
      <c r="S35" s="138">
        <f>VLOOKUP($C35,COMPONENTS!$A:$Q,11,FALSE)</f>
        <v>0</v>
      </c>
      <c r="T35" s="138">
        <f>VLOOKUP($C35,COMPONENTS!$A:$Q,12,FALSE)</f>
        <v>0</v>
      </c>
      <c r="U35" s="138">
        <f>VLOOKUP($C35,COMPONENTS!$A:$Q,13,FALSE)</f>
        <v>0</v>
      </c>
      <c r="V35" s="138">
        <f>VLOOKUP($C35,COMPONENTS!$A:$Q,14,FALSE)</f>
        <v>0</v>
      </c>
      <c r="W35" s="138">
        <f>VLOOKUP($C35,COMPONENTS!$A:$Q,15,FALSE)</f>
        <v>1</v>
      </c>
    </row>
    <row r="36" spans="1:23" ht="15.75" customHeight="1" x14ac:dyDescent="0.15">
      <c r="A36" s="126" t="s">
        <v>345</v>
      </c>
      <c r="B36" s="126" t="str">
        <f>VLOOKUP($C36,COMPONENTS!$A:$Q,2,FALSE)</f>
        <v>Cabling</v>
      </c>
      <c r="C36" s="156" t="s">
        <v>566</v>
      </c>
      <c r="D36" s="128" t="str">
        <f>VLOOKUP($C36,COMPONENTS!$A:$Q,3,FALSE)</f>
        <v>Mellanox Passive Copper Cable, 40GbE QSFP, 3m - MC2210128-003</v>
      </c>
      <c r="E36" s="129">
        <f>2*G18+2</f>
        <v>14</v>
      </c>
      <c r="F36" s="160">
        <f t="shared" si="34"/>
        <v>14</v>
      </c>
      <c r="G36" s="130">
        <f t="shared" si="35"/>
        <v>14</v>
      </c>
      <c r="H36" s="131">
        <f t="shared" si="36"/>
        <v>46.75</v>
      </c>
      <c r="I36" s="132">
        <f>VLOOKUP($C36,COMPONENTS!$A:$Q,6,FALSE)</f>
        <v>57.75</v>
      </c>
      <c r="J36" s="133">
        <f>VLOOKUP($C36,COMPONENTS!$A:$Q,7,FALSE)</f>
        <v>55</v>
      </c>
      <c r="K36" s="134" t="s">
        <v>607</v>
      </c>
      <c r="L36" s="135">
        <f t="shared" si="40"/>
        <v>1</v>
      </c>
      <c r="M36" s="135">
        <f t="shared" si="38"/>
        <v>808.5</v>
      </c>
      <c r="N36" s="135">
        <f t="shared" si="39"/>
        <v>770</v>
      </c>
      <c r="O36" s="136">
        <f>VLOOKUP($C36,COMPONENTS!$A:$Q,8,FALSE)</f>
        <v>0</v>
      </c>
      <c r="P36" s="136">
        <f>VLOOKUP($C36,COMPONENTS!$A:$Q,9,FALSE)</f>
        <v>0</v>
      </c>
      <c r="Q36" s="137" t="str">
        <f>HYPERLINK(VLOOKUP($C36,COMPONENTS!$A:$Q,16,FALSE),"info")</f>
        <v>info</v>
      </c>
      <c r="R36" s="138">
        <f>VLOOKUP($C36,COMPONENTS!$A:$Q,10,FALSE)</f>
        <v>0</v>
      </c>
      <c r="S36" s="138">
        <f>VLOOKUP($C36,COMPONENTS!$A:$Q,11,FALSE)</f>
        <v>0</v>
      </c>
      <c r="T36" s="138">
        <f>VLOOKUP($C36,COMPONENTS!$A:$Q,12,FALSE)</f>
        <v>0</v>
      </c>
      <c r="U36" s="138">
        <f>VLOOKUP($C36,COMPONENTS!$A:$Q,13,FALSE)</f>
        <v>0</v>
      </c>
      <c r="V36" s="138">
        <f>VLOOKUP($C36,COMPONENTS!$A:$Q,14,FALSE)</f>
        <v>0</v>
      </c>
      <c r="W36" s="138">
        <f>VLOOKUP($C36,COMPONENTS!$A:$Q,15,FALSE)</f>
        <v>0</v>
      </c>
    </row>
    <row r="37" spans="1:23" ht="15.75" customHeight="1" x14ac:dyDescent="0.15">
      <c r="A37" s="126" t="s">
        <v>345</v>
      </c>
      <c r="B37" s="126" t="str">
        <f>VLOOKUP($C37,COMPONENTS!$A:$Q,2,FALSE)</f>
        <v>Cabling</v>
      </c>
      <c r="C37" s="156" t="str">
        <f>IF(Params!C46="100G","GTC220050","GTC220022")</f>
        <v>GTC220022</v>
      </c>
      <c r="D37" s="128" t="str">
        <f>VLOOKUP($C37,COMPONENTS!$A:$Q,3,FALSE)</f>
        <v>Mellanox Passive Copper Hybrid Cable, 4x10GbE QSFP to 4xSFP+, 3m - MC2609130-003</v>
      </c>
      <c r="E37" s="129">
        <v>10</v>
      </c>
      <c r="F37" s="160">
        <f t="shared" si="34"/>
        <v>10</v>
      </c>
      <c r="G37" s="130">
        <f t="shared" si="35"/>
        <v>10</v>
      </c>
      <c r="H37" s="131">
        <f t="shared" si="36"/>
        <v>79.05</v>
      </c>
      <c r="I37" s="132">
        <f>VLOOKUP($C37,COMPONENTS!$A:$Q,6,FALSE)</f>
        <v>97.65</v>
      </c>
      <c r="J37" s="133">
        <f>VLOOKUP($C37,COMPONENTS!$A:$Q,7,FALSE)</f>
        <v>93</v>
      </c>
      <c r="K37" s="134" t="s">
        <v>607</v>
      </c>
      <c r="L37" s="135">
        <f t="shared" si="40"/>
        <v>1</v>
      </c>
      <c r="M37" s="135">
        <f t="shared" si="38"/>
        <v>976.5</v>
      </c>
      <c r="N37" s="135">
        <f t="shared" si="39"/>
        <v>930</v>
      </c>
      <c r="O37" s="136">
        <f>VLOOKUP($C37,COMPONENTS!$A:$Q,8,FALSE)</f>
        <v>0</v>
      </c>
      <c r="P37" s="136">
        <f>VLOOKUP($C37,COMPONENTS!$A:$Q,9,FALSE)</f>
        <v>0</v>
      </c>
      <c r="Q37" s="137" t="str">
        <f>HYPERLINK(VLOOKUP($C37,COMPONENTS!$A:$Q,16,FALSE),"info")</f>
        <v>info</v>
      </c>
      <c r="R37" s="138">
        <f>VLOOKUP($C37,COMPONENTS!$A:$Q,10,FALSE)</f>
        <v>0</v>
      </c>
      <c r="S37" s="138">
        <f>VLOOKUP($C37,COMPONENTS!$A:$Q,11,FALSE)</f>
        <v>0</v>
      </c>
      <c r="T37" s="138">
        <f>VLOOKUP($C37,COMPONENTS!$A:$Q,12,FALSE)</f>
        <v>0</v>
      </c>
      <c r="U37" s="138">
        <f>VLOOKUP($C37,COMPONENTS!$A:$Q,13,FALSE)</f>
        <v>0</v>
      </c>
      <c r="V37" s="138">
        <f>VLOOKUP($C37,COMPONENTS!$A:$Q,14,FALSE)</f>
        <v>0</v>
      </c>
      <c r="W37" s="138">
        <f>VLOOKUP($C37,COMPONENTS!$A:$Q,15,FALSE)</f>
        <v>0</v>
      </c>
    </row>
    <row r="38" spans="1:23" ht="15.75" customHeight="1" x14ac:dyDescent="0.15">
      <c r="A38" s="126" t="s">
        <v>345</v>
      </c>
      <c r="B38" s="126" t="str">
        <f>VLOOKUP($C38,COMPONENTS!$A:$Q,2,FALSE)</f>
        <v>Cabling</v>
      </c>
      <c r="C38" s="145" t="s">
        <v>563</v>
      </c>
      <c r="D38" s="128" t="str">
        <f>VLOOKUP($C38,COMPONENTS!$A:$Q,3,FALSE)</f>
        <v>Mellanox Passive Copper Cable, 40GbE QSFP, 1m - MC2210130-001</v>
      </c>
      <c r="E38" s="129">
        <f>1</f>
        <v>1</v>
      </c>
      <c r="F38" s="160">
        <f t="shared" si="34"/>
        <v>1</v>
      </c>
      <c r="G38" s="130">
        <f t="shared" si="35"/>
        <v>1</v>
      </c>
      <c r="H38" s="131">
        <f t="shared" si="36"/>
        <v>46.75</v>
      </c>
      <c r="I38" s="132">
        <f>VLOOKUP($C38,COMPONENTS!$A:$Q,6,FALSE)</f>
        <v>57.75</v>
      </c>
      <c r="J38" s="133">
        <f>VLOOKUP($C38,COMPONENTS!$A:$Q,7,FALSE)</f>
        <v>55</v>
      </c>
      <c r="K38" s="134" t="s">
        <v>607</v>
      </c>
      <c r="L38" s="135">
        <f t="shared" si="40"/>
        <v>1</v>
      </c>
      <c r="M38" s="135">
        <f t="shared" si="38"/>
        <v>57.75</v>
      </c>
      <c r="N38" s="135">
        <f t="shared" si="39"/>
        <v>55</v>
      </c>
      <c r="O38" s="136">
        <f>VLOOKUP($C38,COMPONENTS!$A:$Q,8,FALSE)</f>
        <v>0</v>
      </c>
      <c r="P38" s="136">
        <f>VLOOKUP($C38,COMPONENTS!$A:$Q,9,FALSE)</f>
        <v>0</v>
      </c>
      <c r="Q38" s="137" t="str">
        <f>HYPERLINK(VLOOKUP($C38,COMPONENTS!$A:$Q,16,FALSE),"info")</f>
        <v>info</v>
      </c>
      <c r="R38" s="138">
        <f>VLOOKUP($C38,COMPONENTS!$A:$Q,10,FALSE)</f>
        <v>0</v>
      </c>
      <c r="S38" s="138">
        <f>VLOOKUP($C38,COMPONENTS!$A:$Q,11,FALSE)</f>
        <v>0</v>
      </c>
      <c r="T38" s="138">
        <f>VLOOKUP($C38,COMPONENTS!$A:$Q,12,FALSE)</f>
        <v>0</v>
      </c>
      <c r="U38" s="138">
        <f>VLOOKUP($C38,COMPONENTS!$A:$Q,13,FALSE)</f>
        <v>0</v>
      </c>
      <c r="V38" s="138">
        <f>VLOOKUP($C38,COMPONENTS!$A:$Q,14,FALSE)</f>
        <v>0</v>
      </c>
      <c r="W38" s="138">
        <f>VLOOKUP($C38,COMPONENTS!$A:$Q,15,FALSE)</f>
        <v>0</v>
      </c>
    </row>
    <row r="39" spans="1:23" ht="15.75" customHeight="1" x14ac:dyDescent="0.15">
      <c r="A39" s="126" t="s">
        <v>345</v>
      </c>
      <c r="B39" s="126" t="str">
        <f>VLOOKUP($C39,COMPONENTS!$A:$Q,2,FALSE)</f>
        <v>Cabling</v>
      </c>
      <c r="C39" s="145" t="s">
        <v>569</v>
      </c>
      <c r="D39" s="128" t="str">
        <f>VLOOKUP($C39,COMPONENTS!$A:$Q,3,FALSE)</f>
        <v>Mellanox Passive Copper Hybrid Cable, 10GbE QSFP to SFP+, 1m - MC2309130-001</v>
      </c>
      <c r="E39" s="129">
        <f>E34+E35</f>
        <v>2</v>
      </c>
      <c r="F39" s="160">
        <f t="shared" si="34"/>
        <v>2</v>
      </c>
      <c r="G39" s="130">
        <f t="shared" si="35"/>
        <v>2</v>
      </c>
      <c r="H39" s="131">
        <f t="shared" si="36"/>
        <v>34</v>
      </c>
      <c r="I39" s="132">
        <f>VLOOKUP($C39,COMPONENTS!$A:$Q,6,FALSE)</f>
        <v>42</v>
      </c>
      <c r="J39" s="133">
        <f>VLOOKUP($C39,COMPONENTS!$A:$Q,7,FALSE)</f>
        <v>40</v>
      </c>
      <c r="K39" s="134" t="s">
        <v>607</v>
      </c>
      <c r="L39" s="135">
        <f t="shared" si="40"/>
        <v>1</v>
      </c>
      <c r="M39" s="135">
        <f t="shared" si="38"/>
        <v>84</v>
      </c>
      <c r="N39" s="135">
        <f t="shared" si="39"/>
        <v>80</v>
      </c>
      <c r="O39" s="136">
        <f>VLOOKUP($C39,COMPONENTS!$A:$Q,8,FALSE)</f>
        <v>0</v>
      </c>
      <c r="P39" s="136">
        <f>VLOOKUP($C39,COMPONENTS!$A:$Q,9,FALSE)</f>
        <v>0</v>
      </c>
      <c r="Q39" s="137" t="str">
        <f>HYPERLINK(VLOOKUP($C39,COMPONENTS!$A:$Q,16,FALSE),"info")</f>
        <v>info</v>
      </c>
      <c r="R39" s="138">
        <f>VLOOKUP($C39,COMPONENTS!$A:$Q,10,FALSE)</f>
        <v>0</v>
      </c>
      <c r="S39" s="138">
        <f>VLOOKUP($C39,COMPONENTS!$A:$Q,11,FALSE)</f>
        <v>0</v>
      </c>
      <c r="T39" s="138">
        <f>VLOOKUP($C39,COMPONENTS!$A:$Q,12,FALSE)</f>
        <v>0</v>
      </c>
      <c r="U39" s="138">
        <f>VLOOKUP($C39,COMPONENTS!$A:$Q,13,FALSE)</f>
        <v>0</v>
      </c>
      <c r="V39" s="138">
        <f>VLOOKUP($C39,COMPONENTS!$A:$Q,14,FALSE)</f>
        <v>0</v>
      </c>
      <c r="W39" s="138">
        <f>VLOOKUP($C39,COMPONENTS!$A:$Q,15,FALSE)</f>
        <v>0</v>
      </c>
    </row>
    <row r="40" spans="1:23" ht="15.75" customHeight="1" x14ac:dyDescent="0.15">
      <c r="A40" s="126" t="s">
        <v>345</v>
      </c>
      <c r="B40" s="126" t="str">
        <f>VLOOKUP($C40,COMPONENTS!$A:$Q,2,FALSE)</f>
        <v>Cabling</v>
      </c>
      <c r="C40" s="145" t="s">
        <v>602</v>
      </c>
      <c r="D40" s="128" t="str">
        <f>VLOOKUP($C40,COMPONENTS!$A:$Q,3,FALSE)</f>
        <v>Patch Cabling RJ45</v>
      </c>
      <c r="E40" s="129">
        <f>(E3*2*E13)+(E14*2*2*E24)+(E25*3*3*E30)+2+E35</f>
        <v>94</v>
      </c>
      <c r="F40" s="160">
        <f t="shared" si="34"/>
        <v>94</v>
      </c>
      <c r="G40" s="130">
        <f t="shared" si="35"/>
        <v>94</v>
      </c>
      <c r="H40" s="131">
        <f t="shared" si="36"/>
        <v>0.85</v>
      </c>
      <c r="I40" s="132">
        <f>VLOOKUP($C40,COMPONENTS!$A:$Q,6,FALSE)</f>
        <v>1.05</v>
      </c>
      <c r="J40" s="133">
        <f>VLOOKUP($C40,COMPONENTS!$A:$Q,7,FALSE)</f>
        <v>1</v>
      </c>
      <c r="K40" s="134" t="s">
        <v>607</v>
      </c>
      <c r="L40" s="135">
        <f>L42</f>
        <v>1</v>
      </c>
      <c r="M40" s="135">
        <f t="shared" si="38"/>
        <v>98.7</v>
      </c>
      <c r="N40" s="135">
        <f t="shared" si="39"/>
        <v>94</v>
      </c>
      <c r="O40" s="136">
        <f>VLOOKUP($C40,COMPONENTS!$A:$Q,8,FALSE)</f>
        <v>0</v>
      </c>
      <c r="P40" s="136">
        <f>VLOOKUP($C40,COMPONENTS!$A:$Q,9,FALSE)</f>
        <v>0</v>
      </c>
      <c r="Q40" s="137" t="str">
        <f>HYPERLINK(VLOOKUP($C40,COMPONENTS!$A:$Q,16,FALSE),"info")</f>
        <v>info</v>
      </c>
      <c r="R40" s="138">
        <f>VLOOKUP($C40,COMPONENTS!$A:$Q,10,FALSE)</f>
        <v>0</v>
      </c>
      <c r="S40" s="138">
        <f>VLOOKUP($C40,COMPONENTS!$A:$Q,11,FALSE)</f>
        <v>0</v>
      </c>
      <c r="T40" s="138">
        <f>VLOOKUP($C40,COMPONENTS!$A:$Q,12,FALSE)</f>
        <v>0</v>
      </c>
      <c r="U40" s="138">
        <f>VLOOKUP($C40,COMPONENTS!$A:$Q,13,FALSE)</f>
        <v>0</v>
      </c>
      <c r="V40" s="138">
        <f>VLOOKUP($C40,COMPONENTS!$A:$Q,14,FALSE)</f>
        <v>0</v>
      </c>
      <c r="W40" s="138">
        <f>VLOOKUP($C40,COMPONENTS!$A:$Q,15,FALSE)</f>
        <v>0</v>
      </c>
    </row>
    <row r="41" spans="1:23" ht="15.75" customHeight="1" x14ac:dyDescent="0.15">
      <c r="A41" t="s">
        <v>76</v>
      </c>
      <c r="B41" s="126" t="str">
        <f>VLOOKUP($C41,COMPONENTS!$A:$Q,2,FALSE)</f>
        <v>Cabling</v>
      </c>
      <c r="C41" s="145" t="s">
        <v>605</v>
      </c>
      <c r="D41" s="128" t="str">
        <f>VLOOKUP($C41,COMPONENTS!$A:$Q,3,FALSE)</f>
        <v>Power Cabling C13-C14</v>
      </c>
      <c r="E41" s="129">
        <f>W48</f>
        <v>35</v>
      </c>
      <c r="F41" s="160">
        <f t="shared" si="34"/>
        <v>35</v>
      </c>
      <c r="G41" s="130">
        <f t="shared" si="35"/>
        <v>35</v>
      </c>
      <c r="H41" s="131">
        <f t="shared" si="36"/>
        <v>1.19</v>
      </c>
      <c r="I41" s="132">
        <f>VLOOKUP($C41,COMPONENTS!$A:$Q,6,FALSE)</f>
        <v>1.47</v>
      </c>
      <c r="J41" s="133">
        <f>VLOOKUP($C41,COMPONENTS!$A:$Q,7,FALSE)</f>
        <v>1.4</v>
      </c>
      <c r="K41" s="134" t="s">
        <v>607</v>
      </c>
      <c r="L41" s="135">
        <f>L38</f>
        <v>1</v>
      </c>
      <c r="M41" s="135">
        <f t="shared" si="38"/>
        <v>51.449999999999996</v>
      </c>
      <c r="N41" s="135">
        <f t="shared" si="39"/>
        <v>49</v>
      </c>
      <c r="O41" s="136">
        <f>VLOOKUP($C41,COMPONENTS!$A:$Q,8,FALSE)</f>
        <v>0</v>
      </c>
      <c r="P41" s="136">
        <f>VLOOKUP($C41,COMPONENTS!$A:$Q,9,FALSE)</f>
        <v>0</v>
      </c>
      <c r="Q41" s="137" t="str">
        <f>HYPERLINK(VLOOKUP($C41,COMPONENTS!$A:$Q,16,FALSE),"info")</f>
        <v>info</v>
      </c>
      <c r="R41" s="138">
        <f>VLOOKUP($C41,COMPONENTS!$A:$Q,10,FALSE)</f>
        <v>0</v>
      </c>
      <c r="S41" s="138">
        <f>VLOOKUP($C41,COMPONENTS!$A:$Q,11,FALSE)</f>
        <v>0</v>
      </c>
      <c r="T41" s="138">
        <f>VLOOKUP($C41,COMPONENTS!$A:$Q,12,FALSE)</f>
        <v>0</v>
      </c>
      <c r="U41" s="138">
        <f>VLOOKUP($C41,COMPONENTS!$A:$Q,13,FALSE)</f>
        <v>0</v>
      </c>
      <c r="V41" s="138">
        <f>VLOOKUP($C41,COMPONENTS!$A:$Q,14,FALSE)</f>
        <v>0</v>
      </c>
      <c r="W41" s="138">
        <f>VLOOKUP($C41,COMPONENTS!$A:$Q,15,FALSE)</f>
        <v>0</v>
      </c>
    </row>
    <row r="42" spans="1:23" ht="15.75" customHeight="1" x14ac:dyDescent="0.15">
      <c r="A42" s="126" t="s">
        <v>76</v>
      </c>
      <c r="B42" s="126" t="str">
        <f>VLOOKUP($C42,COMPONENTS!$A:$Q,2,FALSE)</f>
        <v>Power</v>
      </c>
      <c r="C42" s="145" t="s">
        <v>599</v>
      </c>
      <c r="D42" s="128" t="str">
        <f>VLOOKUP($C42,COMPONENTS!$A:$Q,3,FALSE)</f>
        <v>1U Racktivity Device 8 ports - ES1108</v>
      </c>
      <c r="E42" s="292">
        <v>0</v>
      </c>
      <c r="F42" s="160">
        <f t="shared" si="34"/>
        <v>0</v>
      </c>
      <c r="G42" s="130">
        <f t="shared" si="35"/>
        <v>0</v>
      </c>
      <c r="H42" s="131">
        <f t="shared" si="36"/>
        <v>170</v>
      </c>
      <c r="I42" s="132">
        <f>VLOOKUP($C42,COMPONENTS!$A:$Q,6,FALSE)</f>
        <v>210</v>
      </c>
      <c r="J42" s="133">
        <f>VLOOKUP($C42,COMPONENTS!$A:$Q,7,FALSE)</f>
        <v>200</v>
      </c>
      <c r="K42" s="134" t="s">
        <v>607</v>
      </c>
      <c r="L42" s="135">
        <f>L37</f>
        <v>1</v>
      </c>
      <c r="M42" s="135">
        <f t="shared" si="38"/>
        <v>0</v>
      </c>
      <c r="N42" s="135">
        <f t="shared" si="39"/>
        <v>0</v>
      </c>
      <c r="O42" s="136">
        <f>VLOOKUP($C42,COMPONENTS!$A:$Q,8,FALSE)</f>
        <v>1</v>
      </c>
      <c r="P42" s="136">
        <f>VLOOKUP($C42,COMPONENTS!$A:$Q,9,FALSE)</f>
        <v>6</v>
      </c>
      <c r="Q42" s="137" t="str">
        <f>HYPERLINK(VLOOKUP($C42,COMPONENTS!$A:$Q,16,FALSE),"info")</f>
        <v>info</v>
      </c>
      <c r="R42" s="138">
        <f>VLOOKUP($C42,COMPONENTS!$A:$Q,10,FALSE)</f>
        <v>0</v>
      </c>
      <c r="S42" s="138">
        <f>VLOOKUP($C42,COMPONENTS!$A:$Q,11,FALSE)</f>
        <v>0</v>
      </c>
      <c r="T42" s="138">
        <f>VLOOKUP($C42,COMPONENTS!$A:$Q,12,FALSE)</f>
        <v>0</v>
      </c>
      <c r="U42" s="138">
        <f>VLOOKUP($C42,COMPONENTS!$A:$Q,13,FALSE)</f>
        <v>0</v>
      </c>
      <c r="V42" s="138">
        <f>VLOOKUP($C42,COMPONENTS!$A:$Q,14,FALSE)</f>
        <v>0</v>
      </c>
      <c r="W42" s="138">
        <f>VLOOKUP($C42,COMPONENTS!$A:$Q,15,FALSE)</f>
        <v>0</v>
      </c>
    </row>
    <row r="43" spans="1:23" ht="15.75" customHeight="1" x14ac:dyDescent="0.15">
      <c r="A43" s="126" t="s">
        <v>345</v>
      </c>
      <c r="B43" s="126" t="str">
        <f>VLOOKUP($C43,COMPONENTS!$A:$Q,2,FALSE)</f>
        <v>Miscellaneous</v>
      </c>
      <c r="C43" s="145" t="s">
        <v>575</v>
      </c>
      <c r="D43" s="128" t="str">
        <f>VLOOKUP($C43,COMPONENTS!$A:$Q,3,FALSE)</f>
        <v>USB to RS232 DB9 Serial Adapter Cable, M/M - ICUSB232V2</v>
      </c>
      <c r="E43" s="292">
        <v>3</v>
      </c>
      <c r="F43" s="160">
        <f t="shared" si="34"/>
        <v>3</v>
      </c>
      <c r="G43" s="130">
        <f t="shared" si="35"/>
        <v>3</v>
      </c>
      <c r="H43" s="131">
        <f t="shared" si="36"/>
        <v>10.199999999999999</v>
      </c>
      <c r="I43" s="132">
        <f>VLOOKUP($C43,COMPONENTS!$A:$Q,6,FALSE)</f>
        <v>12.600000000000001</v>
      </c>
      <c r="J43" s="133">
        <f>VLOOKUP($C43,COMPONENTS!$A:$Q,7,FALSE)</f>
        <v>12</v>
      </c>
      <c r="K43" s="134" t="s">
        <v>607</v>
      </c>
      <c r="L43" s="135">
        <f>L40</f>
        <v>1</v>
      </c>
      <c r="M43" s="135">
        <f t="shared" si="38"/>
        <v>37.800000000000004</v>
      </c>
      <c r="N43" s="135">
        <f t="shared" si="39"/>
        <v>36</v>
      </c>
      <c r="O43" s="136">
        <f>VLOOKUP($C43,COMPONENTS!$A:$Q,8,FALSE)</f>
        <v>0</v>
      </c>
      <c r="P43" s="136">
        <f>VLOOKUP($C43,COMPONENTS!$A:$Q,9,FALSE)</f>
        <v>0</v>
      </c>
      <c r="Q43" s="137" t="str">
        <f>HYPERLINK(VLOOKUP($C43,COMPONENTS!$A:$Q,16,FALSE),"info")</f>
        <v>info</v>
      </c>
      <c r="R43" s="138">
        <f>VLOOKUP($C43,COMPONENTS!$A:$Q,10,FALSE)</f>
        <v>0</v>
      </c>
      <c r="S43" s="138">
        <f>VLOOKUP($C43,COMPONENTS!$A:$Q,11,FALSE)</f>
        <v>0</v>
      </c>
      <c r="T43" s="138">
        <f>VLOOKUP($C43,COMPONENTS!$A:$Q,12,FALSE)</f>
        <v>0</v>
      </c>
      <c r="U43" s="138">
        <f>VLOOKUP($C43,COMPONENTS!$A:$Q,13,FALSE)</f>
        <v>0</v>
      </c>
      <c r="V43" s="138">
        <f>VLOOKUP($C43,COMPONENTS!$A:$Q,14,FALSE)</f>
        <v>0</v>
      </c>
      <c r="W43" s="138">
        <f>VLOOKUP($C43,COMPONENTS!$A:$Q,15,FALSE)</f>
        <v>0</v>
      </c>
    </row>
    <row r="44" spans="1:23" ht="15.75" customHeight="1" x14ac:dyDescent="0.15">
      <c r="A44" s="245"/>
      <c r="B44" s="246"/>
      <c r="C44" s="247" t="s">
        <v>361</v>
      </c>
      <c r="D44" s="246"/>
      <c r="E44" s="246"/>
      <c r="F44" s="248"/>
      <c r="G44" s="248"/>
      <c r="H44" s="249">
        <f t="shared" ref="H44:J44" si="41">SUMPRODUCT($E31:$E43,H31:H43)</f>
        <v>24728.2</v>
      </c>
      <c r="I44" s="251">
        <f t="shared" si="41"/>
        <v>30546.600000000002</v>
      </c>
      <c r="J44" s="251">
        <f t="shared" si="41"/>
        <v>29092</v>
      </c>
      <c r="K44" s="260"/>
      <c r="L44" s="260"/>
      <c r="M44" s="260"/>
      <c r="N44" s="260"/>
      <c r="O44" s="261">
        <f t="shared" ref="O44:P44" si="42">SUMPRODUCT($E31:$E42,O31:O42)</f>
        <v>4</v>
      </c>
      <c r="P44" s="261">
        <f t="shared" si="42"/>
        <v>470</v>
      </c>
      <c r="Q44" s="260"/>
      <c r="R44" s="263">
        <f t="shared" ref="R44:V44" si="43">SUMPRODUCT($E31:$E42,R31:R42)</f>
        <v>0</v>
      </c>
      <c r="S44" s="261">
        <f t="shared" si="43"/>
        <v>0</v>
      </c>
      <c r="T44" s="261">
        <f t="shared" si="43"/>
        <v>0</v>
      </c>
      <c r="U44" s="261">
        <f t="shared" si="43"/>
        <v>0</v>
      </c>
      <c r="V44" s="261">
        <f t="shared" si="43"/>
        <v>0</v>
      </c>
      <c r="W44" s="264">
        <f>SUMPRODUCT($E31:$E35,W31:W35)</f>
        <v>6</v>
      </c>
    </row>
    <row r="45" spans="1:23" ht="15.75" customHeight="1" x14ac:dyDescent="0.15">
      <c r="A45" s="265"/>
      <c r="B45" s="266"/>
      <c r="C45" s="198" t="s">
        <v>368</v>
      </c>
      <c r="D45" s="266"/>
      <c r="E45" s="267">
        <v>1</v>
      </c>
      <c r="F45" s="267"/>
      <c r="G45" s="267"/>
      <c r="H45" s="268">
        <f>E45*H44</f>
        <v>24728.2</v>
      </c>
      <c r="I45" s="269">
        <f>E45*I44</f>
        <v>30546.600000000002</v>
      </c>
      <c r="J45" s="269">
        <f>E45*J44</f>
        <v>29092</v>
      </c>
      <c r="K45" s="271"/>
      <c r="L45" s="271"/>
      <c r="M45" s="271"/>
      <c r="N45" s="271"/>
      <c r="O45" s="272">
        <f t="shared" ref="O45:P45" si="44">O44*$E45</f>
        <v>4</v>
      </c>
      <c r="P45" s="272">
        <f t="shared" si="44"/>
        <v>470</v>
      </c>
      <c r="Q45" s="266"/>
      <c r="R45" s="273">
        <f t="shared" ref="R45:W45" si="45">R44*$E45</f>
        <v>0</v>
      </c>
      <c r="S45" s="272">
        <f t="shared" si="45"/>
        <v>0</v>
      </c>
      <c r="T45" s="272">
        <f t="shared" si="45"/>
        <v>0</v>
      </c>
      <c r="U45" s="272">
        <f t="shared" si="45"/>
        <v>0</v>
      </c>
      <c r="V45" s="272">
        <f t="shared" si="45"/>
        <v>0</v>
      </c>
      <c r="W45" s="274">
        <f t="shared" si="45"/>
        <v>6</v>
      </c>
    </row>
    <row r="46" spans="1:23" ht="15.75" customHeight="1" x14ac:dyDescent="0.15">
      <c r="A46" s="126"/>
      <c r="B46" s="126"/>
      <c r="C46" s="126"/>
      <c r="D46" s="128"/>
      <c r="E46" s="127"/>
      <c r="F46" s="127"/>
      <c r="G46" s="127"/>
      <c r="H46" s="293"/>
      <c r="I46" s="293"/>
      <c r="J46" s="293"/>
      <c r="K46" s="293"/>
      <c r="L46" s="293"/>
      <c r="M46" s="293"/>
      <c r="N46" s="293"/>
      <c r="O46" s="126"/>
      <c r="P46" s="127"/>
      <c r="Q46" s="127"/>
      <c r="R46" s="126"/>
      <c r="S46" s="126"/>
      <c r="T46" s="126"/>
      <c r="U46" s="126"/>
      <c r="V46" s="294"/>
      <c r="W46" s="294"/>
    </row>
    <row r="47" spans="1:23" ht="22.5" customHeight="1" x14ac:dyDescent="0.15">
      <c r="A47" s="126"/>
      <c r="B47" s="295" t="s">
        <v>608</v>
      </c>
      <c r="C47" s="296">
        <v>1</v>
      </c>
      <c r="D47" s="128"/>
      <c r="E47" s="127"/>
      <c r="F47" s="127"/>
      <c r="G47" s="127"/>
      <c r="H47" s="123" t="s">
        <v>212</v>
      </c>
      <c r="I47" s="123" t="s">
        <v>213</v>
      </c>
      <c r="J47" s="123" t="s">
        <v>214</v>
      </c>
      <c r="K47" s="293"/>
      <c r="L47" s="293"/>
      <c r="M47" s="293"/>
      <c r="N47" s="293"/>
      <c r="O47" s="125" t="s">
        <v>217</v>
      </c>
      <c r="P47" s="125" t="s">
        <v>76</v>
      </c>
      <c r="Q47" s="125"/>
      <c r="R47" s="125" t="s">
        <v>219</v>
      </c>
      <c r="S47" s="125" t="s">
        <v>220</v>
      </c>
      <c r="T47" s="125" t="s">
        <v>609</v>
      </c>
      <c r="U47" s="125" t="s">
        <v>610</v>
      </c>
      <c r="V47" s="125" t="s">
        <v>611</v>
      </c>
      <c r="W47" s="125" t="s">
        <v>224</v>
      </c>
    </row>
    <row r="48" spans="1:23" ht="15.75" customHeight="1" x14ac:dyDescent="0.15">
      <c r="A48" s="126"/>
      <c r="B48" s="126"/>
      <c r="C48" s="126"/>
      <c r="D48" s="128"/>
      <c r="E48" s="128"/>
      <c r="F48" s="297" t="s">
        <v>612</v>
      </c>
      <c r="G48" s="268"/>
      <c r="H48" s="268">
        <f t="shared" ref="H48:I48" si="46">(H13+H24+H30+H45)</f>
        <v>271207.12</v>
      </c>
      <c r="I48" s="298">
        <f t="shared" si="46"/>
        <v>335020.56</v>
      </c>
      <c r="J48" s="298">
        <f>(J13++J24+J30+J45)</f>
        <v>319067.2</v>
      </c>
      <c r="K48" s="299"/>
      <c r="L48" s="299"/>
      <c r="M48" s="299"/>
      <c r="N48" s="299"/>
      <c r="O48" s="299">
        <f t="shared" ref="O48:P48" si="47">O45+O30+O24+O13</f>
        <v>29</v>
      </c>
      <c r="P48" s="299">
        <f t="shared" si="47"/>
        <v>14806.4</v>
      </c>
      <c r="Q48" s="126"/>
      <c r="R48" s="300">
        <f t="shared" ref="R48:T48" si="48">R45+R30+R24+R13</f>
        <v>132.34</v>
      </c>
      <c r="S48" s="299">
        <f t="shared" si="48"/>
        <v>1080</v>
      </c>
      <c r="T48" s="299">
        <f t="shared" si="48"/>
        <v>11872</v>
      </c>
      <c r="U48" s="299">
        <f t="shared" ref="U48:V48" si="49">U13</f>
        <v>1440</v>
      </c>
      <c r="V48" s="299">
        <f t="shared" si="49"/>
        <v>0</v>
      </c>
      <c r="W48" s="299">
        <f>W45+W30+W24+W13</f>
        <v>35</v>
      </c>
    </row>
    <row r="49" spans="1:23" ht="15.75" customHeight="1" x14ac:dyDescent="0.15">
      <c r="A49" s="126"/>
      <c r="B49" s="126"/>
      <c r="C49" s="126"/>
      <c r="D49" s="128"/>
      <c r="F49" s="301" t="s">
        <v>613</v>
      </c>
      <c r="G49" s="302"/>
      <c r="H49" s="303">
        <f>C47*H48</f>
        <v>271207.12</v>
      </c>
      <c r="I49" s="304">
        <f>C47*I48</f>
        <v>335020.56</v>
      </c>
      <c r="J49" s="304">
        <f>C47*J48</f>
        <v>319067.2</v>
      </c>
      <c r="K49" s="127"/>
      <c r="L49" s="126"/>
      <c r="M49" s="126"/>
      <c r="N49" s="294" t="s">
        <v>614</v>
      </c>
      <c r="O49" s="127">
        <f>O48-O42*G42</f>
        <v>29</v>
      </c>
      <c r="P49" s="126"/>
      <c r="Q49" s="126"/>
      <c r="R49" s="126"/>
      <c r="S49" s="126"/>
      <c r="T49" s="126"/>
      <c r="U49" s="126"/>
      <c r="V49" s="305"/>
      <c r="W49" s="294" t="str">
        <f>"= per feed: " &amp; ROUNDUP(W48/2,0)</f>
        <v>= per feed: 18</v>
      </c>
    </row>
    <row r="50" spans="1:23" ht="15.75" customHeight="1" x14ac:dyDescent="0.15">
      <c r="A50" s="126"/>
      <c r="B50" s="126"/>
      <c r="C50" s="126"/>
      <c r="D50" s="128"/>
      <c r="E50" s="127"/>
      <c r="F50" s="127"/>
      <c r="G50" s="127"/>
      <c r="H50" s="127"/>
      <c r="I50" s="127"/>
      <c r="J50" s="127"/>
      <c r="K50" s="127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306"/>
      <c r="W50" s="294"/>
    </row>
    <row r="51" spans="1:23" ht="15.75" customHeight="1" x14ac:dyDescent="0.15">
      <c r="A51" s="307"/>
      <c r="B51" s="308" t="s">
        <v>615</v>
      </c>
      <c r="C51" s="309" t="s">
        <v>226</v>
      </c>
      <c r="D51" s="310" t="s">
        <v>616</v>
      </c>
      <c r="H51" s="311"/>
      <c r="I51" s="311">
        <f t="shared" ref="I51:I56" si="50">SUMIF(K:K,C51,M:M)</f>
        <v>165480</v>
      </c>
      <c r="J51" s="311">
        <f t="shared" ref="J51:J56" si="51">SUMIF(K:K,C51,N:N)</f>
        <v>157600</v>
      </c>
      <c r="K51" s="309"/>
      <c r="L51" s="309"/>
      <c r="M51" s="309"/>
      <c r="N51" s="309"/>
      <c r="O51" s="309"/>
      <c r="P51" s="309"/>
      <c r="Q51" s="312"/>
      <c r="R51" s="126"/>
      <c r="S51" s="126"/>
      <c r="T51" s="126"/>
      <c r="U51" s="126"/>
      <c r="V51" s="126"/>
      <c r="W51" s="294"/>
    </row>
    <row r="52" spans="1:23" ht="15.75" customHeight="1" x14ac:dyDescent="0.15">
      <c r="A52" s="307"/>
      <c r="B52" s="308"/>
      <c r="C52" s="309" t="s">
        <v>323</v>
      </c>
      <c r="D52" s="310" t="s">
        <v>617</v>
      </c>
      <c r="H52" s="311"/>
      <c r="I52" s="311">
        <f t="shared" si="50"/>
        <v>8085</v>
      </c>
      <c r="J52" s="311">
        <f t="shared" si="51"/>
        <v>7700</v>
      </c>
      <c r="K52" s="309"/>
      <c r="L52" s="309"/>
      <c r="M52" s="309"/>
      <c r="N52" s="309"/>
      <c r="O52" s="309"/>
      <c r="P52" s="309"/>
      <c r="Q52" s="312"/>
      <c r="R52" s="126"/>
      <c r="S52" s="126"/>
      <c r="T52" s="126"/>
      <c r="U52" s="126"/>
      <c r="V52" s="313"/>
      <c r="W52" s="294"/>
    </row>
    <row r="53" spans="1:23" ht="15.75" customHeight="1" x14ac:dyDescent="0.15">
      <c r="A53" s="307"/>
      <c r="B53" s="308"/>
      <c r="C53" s="309" t="s">
        <v>308</v>
      </c>
      <c r="D53" s="310" t="s">
        <v>618</v>
      </c>
      <c r="H53" s="311"/>
      <c r="I53" s="311">
        <f t="shared" si="50"/>
        <v>122875.2</v>
      </c>
      <c r="J53" s="311">
        <f t="shared" si="51"/>
        <v>117024</v>
      </c>
      <c r="K53" s="309"/>
      <c r="L53" s="309"/>
      <c r="M53" s="309"/>
      <c r="N53" s="309"/>
      <c r="O53" s="309"/>
      <c r="P53" s="309"/>
      <c r="Q53" s="312"/>
      <c r="R53" s="126"/>
      <c r="S53" s="126"/>
      <c r="T53" s="126"/>
      <c r="U53" s="126"/>
      <c r="V53" s="313"/>
      <c r="W53" s="294"/>
    </row>
    <row r="54" spans="1:23" ht="15.75" customHeight="1" x14ac:dyDescent="0.15">
      <c r="A54" s="307"/>
      <c r="B54" s="308"/>
      <c r="C54" s="309" t="s">
        <v>510</v>
      </c>
      <c r="D54" s="310" t="s">
        <v>619</v>
      </c>
      <c r="H54" s="311"/>
      <c r="I54" s="311">
        <f t="shared" si="50"/>
        <v>8033.76</v>
      </c>
      <c r="J54" s="311">
        <f t="shared" si="51"/>
        <v>7651.2000000000007</v>
      </c>
      <c r="K54" s="309"/>
      <c r="L54" s="309"/>
      <c r="M54" s="309"/>
      <c r="N54" s="309"/>
      <c r="O54" s="309"/>
      <c r="P54" s="309"/>
      <c r="Q54" s="312"/>
      <c r="R54" s="126"/>
      <c r="S54" s="126"/>
      <c r="T54" s="126"/>
      <c r="U54" s="126"/>
      <c r="V54" s="313"/>
      <c r="W54" s="294"/>
    </row>
    <row r="55" spans="1:23" ht="15.75" customHeight="1" x14ac:dyDescent="0.15">
      <c r="A55" s="307"/>
      <c r="B55" s="308"/>
      <c r="C55" s="309" t="s">
        <v>607</v>
      </c>
      <c r="D55" s="310" t="s">
        <v>620</v>
      </c>
      <c r="H55" s="311"/>
      <c r="I55" s="311">
        <f t="shared" si="50"/>
        <v>26264.7</v>
      </c>
      <c r="J55" s="311">
        <f t="shared" si="51"/>
        <v>25014</v>
      </c>
      <c r="K55" s="309"/>
      <c r="L55" s="309"/>
      <c r="M55" s="309"/>
      <c r="N55" s="309"/>
      <c r="O55" s="309"/>
      <c r="P55" s="309"/>
      <c r="Q55" s="312"/>
      <c r="R55" s="126"/>
      <c r="S55" s="126"/>
      <c r="T55" s="126"/>
      <c r="U55" s="126"/>
      <c r="V55" s="313"/>
      <c r="W55" s="294"/>
    </row>
    <row r="56" spans="1:23" ht="15.75" customHeight="1" x14ac:dyDescent="0.15">
      <c r="A56" s="307"/>
      <c r="B56" s="308"/>
      <c r="C56" s="309" t="s">
        <v>621</v>
      </c>
      <c r="D56" s="310" t="s">
        <v>622</v>
      </c>
      <c r="H56" s="311"/>
      <c r="I56" s="311">
        <f t="shared" si="50"/>
        <v>0</v>
      </c>
      <c r="J56" s="311">
        <f t="shared" si="51"/>
        <v>0</v>
      </c>
      <c r="K56" s="309"/>
      <c r="L56" s="309"/>
      <c r="M56" s="309"/>
      <c r="N56" s="309"/>
      <c r="O56" s="309"/>
      <c r="P56" s="309"/>
      <c r="Q56" s="312"/>
      <c r="R56" s="126"/>
      <c r="S56" s="126"/>
      <c r="T56" s="126"/>
      <c r="U56" s="126"/>
      <c r="V56" s="313"/>
      <c r="W56" s="294"/>
    </row>
    <row r="57" spans="1:23" ht="9" customHeight="1" x14ac:dyDescent="0.15">
      <c r="A57" s="307"/>
      <c r="B57" s="308"/>
      <c r="C57" s="309"/>
      <c r="D57" s="310"/>
      <c r="H57" s="311"/>
      <c r="I57" s="311"/>
      <c r="J57" s="311"/>
      <c r="K57" s="309"/>
      <c r="L57" s="309"/>
      <c r="M57" s="309"/>
      <c r="N57" s="309"/>
      <c r="O57" s="309"/>
      <c r="P57" s="309"/>
      <c r="Q57" s="312"/>
      <c r="R57" s="126"/>
      <c r="S57" s="126"/>
      <c r="T57" s="126"/>
      <c r="U57" s="126"/>
      <c r="V57" s="313"/>
      <c r="W57" s="294"/>
    </row>
    <row r="58" spans="1:23" ht="15.75" customHeight="1" x14ac:dyDescent="0.15">
      <c r="A58" s="126"/>
      <c r="B58" s="126"/>
      <c r="C58" s="126"/>
      <c r="D58" s="128" t="s">
        <v>623</v>
      </c>
      <c r="H58" s="127"/>
      <c r="I58" s="127">
        <f>E2*E3*E13+E14*4*E24*E18</f>
        <v>44</v>
      </c>
      <c r="J58" s="127"/>
      <c r="K58" s="126"/>
      <c r="L58" s="126"/>
      <c r="M58" s="126"/>
      <c r="N58" s="126"/>
      <c r="O58" s="126"/>
      <c r="P58" s="314" t="s">
        <v>624</v>
      </c>
      <c r="Q58" s="315"/>
      <c r="R58" s="315"/>
      <c r="S58" s="315"/>
      <c r="T58" s="315"/>
      <c r="U58" s="315"/>
      <c r="V58" s="316"/>
      <c r="W58" s="317"/>
    </row>
    <row r="59" spans="1:23" ht="15.75" customHeight="1" x14ac:dyDescent="0.15">
      <c r="A59" s="126"/>
      <c r="B59" s="126"/>
      <c r="C59" s="126"/>
      <c r="D59" s="128" t="s">
        <v>625</v>
      </c>
      <c r="H59" s="127"/>
      <c r="I59" s="127">
        <f>E10*E13</f>
        <v>80</v>
      </c>
      <c r="J59" s="127"/>
      <c r="K59" s="126"/>
      <c r="L59" s="126"/>
      <c r="M59" s="126"/>
      <c r="N59" s="126"/>
      <c r="O59" s="126"/>
      <c r="P59" s="318" t="s">
        <v>626</v>
      </c>
      <c r="Q59" s="319"/>
      <c r="R59" s="319"/>
      <c r="S59" s="319"/>
      <c r="T59" s="319"/>
      <c r="U59" s="319">
        <v>0.75</v>
      </c>
      <c r="V59" s="320"/>
      <c r="W59" s="321"/>
    </row>
    <row r="60" spans="1:23" ht="15.75" customHeight="1" x14ac:dyDescent="0.15">
      <c r="A60" s="126"/>
      <c r="B60" s="126"/>
      <c r="C60" s="126"/>
      <c r="D60" s="128" t="s">
        <v>627</v>
      </c>
      <c r="H60" s="127"/>
      <c r="I60" s="127">
        <f>IF(E10&gt;0,1,0)</f>
        <v>1</v>
      </c>
      <c r="J60" s="127"/>
      <c r="K60" s="126"/>
      <c r="L60" s="126"/>
      <c r="M60" s="126"/>
      <c r="N60" s="126"/>
      <c r="O60" s="126"/>
      <c r="P60" s="318" t="s">
        <v>628</v>
      </c>
      <c r="Q60" s="319"/>
      <c r="R60" s="319"/>
      <c r="S60" s="319"/>
      <c r="T60" s="319"/>
      <c r="U60" s="319">
        <f>1/Params!C44</f>
        <v>0.59259259259259256</v>
      </c>
      <c r="V60" s="320"/>
      <c r="W60" s="321"/>
    </row>
    <row r="61" spans="1:23" ht="15.75" customHeight="1" x14ac:dyDescent="0.15">
      <c r="A61" s="126"/>
      <c r="B61" s="126"/>
      <c r="C61" s="126"/>
      <c r="D61" s="128" t="s">
        <v>629</v>
      </c>
      <c r="H61" s="127"/>
      <c r="I61" s="127">
        <f>IF(E9&gt;0,1,0)</f>
        <v>1</v>
      </c>
      <c r="J61" s="127"/>
      <c r="K61" s="126"/>
      <c r="L61" s="126"/>
      <c r="M61" s="126"/>
      <c r="N61" s="126"/>
      <c r="O61" s="126"/>
      <c r="P61" s="322" t="s">
        <v>630</v>
      </c>
      <c r="Q61" s="323"/>
      <c r="R61" s="323"/>
      <c r="S61" s="323"/>
      <c r="T61" s="323"/>
      <c r="U61" s="324">
        <f>IF(Params!C13="S-All",10%,5%)</f>
        <v>0.1</v>
      </c>
      <c r="V61" s="325"/>
      <c r="W61" s="326"/>
    </row>
    <row r="62" spans="1:23" ht="15.75" customHeight="1" x14ac:dyDescent="0.15">
      <c r="A62" s="307"/>
      <c r="B62" s="308"/>
      <c r="C62" s="309"/>
      <c r="D62" s="310" t="s">
        <v>631</v>
      </c>
      <c r="H62" s="311"/>
      <c r="I62" s="311">
        <f>Params!C34</f>
        <v>6</v>
      </c>
      <c r="J62" s="311"/>
      <c r="K62" s="309"/>
      <c r="L62" s="309"/>
      <c r="M62" s="309"/>
      <c r="N62" s="309"/>
      <c r="O62" s="309"/>
      <c r="P62" s="309"/>
      <c r="Q62" s="312"/>
      <c r="R62" s="126"/>
      <c r="S62" s="126"/>
      <c r="T62" s="126"/>
      <c r="U62" s="126"/>
      <c r="V62" s="313"/>
      <c r="W62" s="294"/>
    </row>
    <row r="63" spans="1:23" ht="15.75" customHeight="1" x14ac:dyDescent="0.15">
      <c r="A63" s="307"/>
      <c r="B63" s="308"/>
      <c r="C63" s="309"/>
      <c r="D63" s="310"/>
      <c r="H63" s="311"/>
      <c r="I63" s="311"/>
      <c r="J63" s="311"/>
      <c r="K63" s="309"/>
      <c r="L63" s="309"/>
      <c r="M63" s="309"/>
      <c r="N63" s="309"/>
      <c r="O63" s="309"/>
      <c r="P63" s="327"/>
      <c r="Q63" s="328"/>
      <c r="R63" s="329" t="s">
        <v>632</v>
      </c>
      <c r="S63" s="329" t="s">
        <v>633</v>
      </c>
      <c r="T63" s="329" t="s">
        <v>634</v>
      </c>
      <c r="U63" s="329" t="s">
        <v>635</v>
      </c>
      <c r="V63" s="329" t="s">
        <v>636</v>
      </c>
      <c r="W63" s="330"/>
    </row>
    <row r="64" spans="1:23" ht="15.75" customHeight="1" x14ac:dyDescent="0.15">
      <c r="A64" s="307"/>
      <c r="B64" s="331" t="s">
        <v>637</v>
      </c>
      <c r="C64" s="309" t="s">
        <v>226</v>
      </c>
      <c r="D64" s="310" t="s">
        <v>616</v>
      </c>
      <c r="H64" s="311"/>
      <c r="I64" s="311">
        <f>I51*(1-$I60*MEM_CPU_pctPer1TStorage)*(1-$I61*MEM_CPU_pctPer1TStorage)</f>
        <v>134038.80000000002</v>
      </c>
      <c r="J64" s="311">
        <f>J51*(1-$I60/10)*(1-$I61/10)</f>
        <v>127656</v>
      </c>
      <c r="K64" s="309"/>
      <c r="L64" s="309"/>
      <c r="M64" s="309"/>
      <c r="N64" s="309"/>
      <c r="O64" s="309"/>
      <c r="P64" s="332"/>
      <c r="Q64" s="333"/>
      <c r="R64" s="334"/>
      <c r="S64" s="334"/>
      <c r="T64" s="335">
        <f>T13*(1-$I60*MEM_CPU_pctPer1TStorage)*(1-$I61*MEM_CPU_pctPer1TStorage)</f>
        <v>8294.4</v>
      </c>
      <c r="U64" s="335">
        <f>U48*(1-$I60*MEM_CPU_pctPer1TStorage)*(1-$I61*MEM_CPU_pctPer1TStorage)</f>
        <v>1166.4000000000001</v>
      </c>
      <c r="V64" s="335">
        <f>V48*(1-$I60*MEM_CPU_pctPer1TStorage)*(1-$I61*MEM_CPU_pctPer1TStorage)</f>
        <v>0</v>
      </c>
      <c r="W64" s="336"/>
    </row>
    <row r="65" spans="1:23" ht="15.75" customHeight="1" x14ac:dyDescent="0.15">
      <c r="A65" s="307"/>
      <c r="B65" s="308"/>
      <c r="C65" s="309" t="s">
        <v>323</v>
      </c>
      <c r="D65" s="310" t="s">
        <v>617</v>
      </c>
      <c r="H65" s="311"/>
      <c r="I65" s="311">
        <f>I52+$I51-$I64+IF($I62=0,0,$I56/3*2)</f>
        <v>39526.199999999983</v>
      </c>
      <c r="J65" s="311">
        <f>J52+$I51-$I64+IF($I62=0,0,$I56/2)</f>
        <v>39141.199999999983</v>
      </c>
      <c r="K65" s="309"/>
      <c r="L65" s="309"/>
      <c r="M65" s="309"/>
      <c r="N65" s="309"/>
      <c r="O65" s="309"/>
      <c r="P65" s="332"/>
      <c r="Q65" s="333"/>
      <c r="R65" s="337">
        <f>R48*SSD_RAWtoNET*1024</f>
        <v>101637.12</v>
      </c>
      <c r="S65" s="334"/>
      <c r="T65" s="334"/>
      <c r="U65" s="334"/>
      <c r="V65" s="338"/>
      <c r="W65" s="336"/>
    </row>
    <row r="66" spans="1:23" ht="15.75" customHeight="1" x14ac:dyDescent="0.15">
      <c r="A66" s="307"/>
      <c r="B66" s="308"/>
      <c r="C66" s="309" t="s">
        <v>308</v>
      </c>
      <c r="D66" s="310" t="s">
        <v>618</v>
      </c>
      <c r="H66" s="311"/>
      <c r="I66" s="311">
        <f>I53+IF($I62=0,$I56,$I56/3)</f>
        <v>122875.2</v>
      </c>
      <c r="J66" s="311">
        <f>J53+IF($I62=0,$I56,$I56/2)</f>
        <v>117024</v>
      </c>
      <c r="K66" s="309"/>
      <c r="L66" s="309"/>
      <c r="M66" s="309"/>
      <c r="N66" s="309"/>
      <c r="O66" s="309"/>
      <c r="P66" s="339"/>
      <c r="Q66" s="340"/>
      <c r="R66" s="341"/>
      <c r="S66" s="341">
        <f>S48*HDD_RAWtoNET</f>
        <v>640</v>
      </c>
      <c r="T66" s="341"/>
      <c r="U66" s="341"/>
      <c r="V66" s="342"/>
      <c r="W66" s="343"/>
    </row>
    <row r="67" spans="1:23" ht="15.75" customHeight="1" x14ac:dyDescent="0.15">
      <c r="A67" s="307"/>
      <c r="B67" s="308"/>
      <c r="C67" s="309" t="s">
        <v>607</v>
      </c>
      <c r="D67" s="310" t="s">
        <v>638</v>
      </c>
      <c r="H67" s="311"/>
      <c r="I67" s="311">
        <f t="shared" ref="I67:I68" si="52">SUMIF(K:K,C67,M:M)</f>
        <v>26264.7</v>
      </c>
      <c r="J67" s="311">
        <f t="shared" ref="J67:J68" si="53">SUMIF(K:K,C67,N:N)</f>
        <v>25014</v>
      </c>
      <c r="K67" s="309"/>
      <c r="L67" s="309"/>
      <c r="M67" s="309"/>
      <c r="N67" s="309"/>
      <c r="O67" s="309"/>
      <c r="P67" s="309"/>
      <c r="Q67" s="312"/>
      <c r="R67" s="126"/>
      <c r="S67" s="126"/>
      <c r="T67" s="126"/>
      <c r="U67" s="126"/>
      <c r="V67" s="313"/>
      <c r="W67" s="294"/>
    </row>
    <row r="68" spans="1:23" ht="15.75" customHeight="1" x14ac:dyDescent="0.15">
      <c r="A68" s="307"/>
      <c r="B68" s="308"/>
      <c r="C68" s="309" t="s">
        <v>510</v>
      </c>
      <c r="D68" s="310" t="s">
        <v>619</v>
      </c>
      <c r="H68" s="311"/>
      <c r="I68" s="311">
        <f t="shared" si="52"/>
        <v>8033.76</v>
      </c>
      <c r="J68" s="311">
        <f t="shared" si="53"/>
        <v>7651.2000000000007</v>
      </c>
      <c r="K68" s="309"/>
      <c r="L68" s="309"/>
      <c r="M68" s="309"/>
      <c r="N68" s="309"/>
      <c r="O68" s="309"/>
      <c r="P68" s="309"/>
      <c r="Q68" s="312"/>
      <c r="R68" s="126"/>
      <c r="S68" s="126"/>
      <c r="T68" s="126"/>
      <c r="U68" s="126"/>
      <c r="V68" s="313"/>
      <c r="W68" s="294"/>
    </row>
    <row r="69" spans="1:23" ht="15.75" customHeight="1" x14ac:dyDescent="0.15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</row>
    <row r="70" spans="1:23" ht="15.75" customHeight="1" x14ac:dyDescent="0.15"/>
    <row r="71" spans="1:23" ht="15.75" customHeight="1" x14ac:dyDescent="0.15"/>
    <row r="72" spans="1:23" ht="15.75" customHeight="1" x14ac:dyDescent="0.15"/>
    <row r="73" spans="1:23" ht="15.75" customHeight="1" x14ac:dyDescent="0.15"/>
    <row r="74" spans="1:23" ht="15.75" customHeight="1" x14ac:dyDescent="0.15"/>
    <row r="75" spans="1:23" ht="15.75" customHeight="1" x14ac:dyDescent="0.15"/>
    <row r="76" spans="1:23" ht="15.75" customHeight="1" x14ac:dyDescent="0.15"/>
    <row r="77" spans="1:23" ht="15.75" customHeight="1" x14ac:dyDescent="0.15"/>
    <row r="78" spans="1:23" ht="15.75" customHeight="1" x14ac:dyDescent="0.15"/>
    <row r="79" spans="1:23" ht="15.75" customHeight="1" x14ac:dyDescent="0.15"/>
    <row r="80" spans="1:23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outlinePr summaryBelow="0" summaryRight="0"/>
  </sheetPr>
  <dimension ref="A1:AC1030"/>
  <sheetViews>
    <sheetView showGridLines="0" workbookViewId="0">
      <pane ySplit="1" topLeftCell="A2" activePane="bottomLeft" state="frozen"/>
      <selection pane="bottomLeft" activeCell="B3" sqref="B3"/>
    </sheetView>
  </sheetViews>
  <sheetFormatPr baseColWidth="10" defaultColWidth="14.5" defaultRowHeight="15" customHeight="1" x14ac:dyDescent="0.15"/>
  <cols>
    <col min="1" max="1" width="30.5" customWidth="1"/>
    <col min="2" max="2" width="14.5" customWidth="1"/>
    <col min="3" max="3" width="92.6640625" customWidth="1"/>
    <col min="4" max="4" width="20.1640625" customWidth="1"/>
    <col min="5" max="5" width="16" customWidth="1"/>
    <col min="6" max="6" width="20.33203125" customWidth="1"/>
    <col min="7" max="7" width="16.1640625" customWidth="1"/>
    <col min="8" max="8" width="5.33203125" customWidth="1"/>
    <col min="9" max="9" width="13.5" customWidth="1"/>
    <col min="10" max="10" width="19.6640625" customWidth="1"/>
    <col min="11" max="11" width="21.5" customWidth="1"/>
    <col min="12" max="12" width="8.33203125" customWidth="1"/>
    <col min="13" max="13" width="10.5" customWidth="1"/>
    <col min="14" max="14" width="14.5" customWidth="1"/>
    <col min="15" max="15" width="11.5" customWidth="1"/>
    <col min="16" max="16" width="90.83203125" customWidth="1"/>
    <col min="17" max="17" width="96.5" customWidth="1"/>
    <col min="18" max="18" width="20.83203125" customWidth="1"/>
  </cols>
  <sheetData>
    <row r="1" spans="1:29" ht="15.75" customHeight="1" x14ac:dyDescent="0.15">
      <c r="A1" s="140" t="s">
        <v>208</v>
      </c>
      <c r="B1" s="140" t="s">
        <v>207</v>
      </c>
      <c r="C1" s="141" t="s">
        <v>162</v>
      </c>
      <c r="D1" s="142" t="s">
        <v>227</v>
      </c>
      <c r="E1" s="142" t="s">
        <v>212</v>
      </c>
      <c r="F1" s="142" t="s">
        <v>213</v>
      </c>
      <c r="G1" s="142" t="s">
        <v>214</v>
      </c>
      <c r="H1" s="142" t="s">
        <v>217</v>
      </c>
      <c r="I1" s="142" t="s">
        <v>228</v>
      </c>
      <c r="J1" s="143" t="s">
        <v>219</v>
      </c>
      <c r="K1" s="143" t="s">
        <v>220</v>
      </c>
      <c r="L1" s="143" t="s">
        <v>229</v>
      </c>
      <c r="M1" s="143" t="s">
        <v>222</v>
      </c>
      <c r="N1" s="143" t="s">
        <v>223</v>
      </c>
      <c r="O1" s="143" t="s">
        <v>224</v>
      </c>
      <c r="P1" s="140"/>
      <c r="Q1" s="140"/>
      <c r="R1" s="140" t="s">
        <v>230</v>
      </c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</row>
    <row r="2" spans="1:29" ht="13.5" customHeight="1" x14ac:dyDescent="0.15">
      <c r="A2" s="145" t="s">
        <v>73</v>
      </c>
      <c r="B2" s="145" t="s">
        <v>73</v>
      </c>
      <c r="C2" s="146"/>
      <c r="D2" s="147"/>
      <c r="E2" s="148"/>
      <c r="F2" s="149"/>
      <c r="G2" s="150"/>
      <c r="H2" s="151"/>
      <c r="I2" s="145"/>
      <c r="J2" s="152"/>
      <c r="K2" s="153"/>
      <c r="L2" s="153"/>
      <c r="M2" s="153"/>
      <c r="N2" s="154"/>
      <c r="O2" s="152"/>
      <c r="P2" s="145"/>
      <c r="Q2" s="145"/>
      <c r="R2" s="145" t="s">
        <v>73</v>
      </c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</row>
    <row r="3" spans="1:29" ht="15.75" hidden="1" customHeight="1" x14ac:dyDescent="0.15">
      <c r="A3" s="145" t="s">
        <v>231</v>
      </c>
      <c r="B3" s="156" t="s">
        <v>232</v>
      </c>
      <c r="C3" s="146" t="s">
        <v>233</v>
      </c>
      <c r="D3" s="147">
        <f t="shared" ref="D3:D61" si="0">E3*1.1</f>
        <v>0</v>
      </c>
      <c r="E3" s="157">
        <v>0</v>
      </c>
      <c r="F3" s="149">
        <f t="shared" ref="F3:F61" si="1">G3*1.1</f>
        <v>990.00000000000011</v>
      </c>
      <c r="G3" s="150">
        <v>900</v>
      </c>
      <c r="H3" s="151"/>
      <c r="I3" s="154">
        <v>80</v>
      </c>
      <c r="J3" s="152"/>
      <c r="K3" s="153"/>
      <c r="L3" s="153"/>
      <c r="M3" s="152">
        <v>16</v>
      </c>
      <c r="N3" s="158"/>
      <c r="O3" s="152"/>
      <c r="P3" s="159" t="str">
        <f>HYPERLINK("http://www.supermicro.com/products/motherboard/xeon/d/x10sdv-tln4f.cfm","http://www.supermicro.com/products/motherboard/xeon/d/x10sdv-tln4f.cfm")</f>
        <v>http://www.supermicro.com/products/motherboard/xeon/d/x10sdv-tln4f.cfm</v>
      </c>
      <c r="Q3" s="145"/>
      <c r="R3" s="145" t="s">
        <v>234</v>
      </c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</row>
    <row r="4" spans="1:29" ht="15.75" hidden="1" customHeight="1" x14ac:dyDescent="0.15">
      <c r="A4" s="145" t="s">
        <v>231</v>
      </c>
      <c r="B4" s="156" t="s">
        <v>232</v>
      </c>
      <c r="C4" s="146" t="s">
        <v>235</v>
      </c>
      <c r="D4" s="147">
        <f t="shared" si="0"/>
        <v>0</v>
      </c>
      <c r="E4" s="157">
        <v>0</v>
      </c>
      <c r="F4" s="149">
        <f t="shared" si="1"/>
        <v>999.24</v>
      </c>
      <c r="G4" s="150">
        <f>757*1.2</f>
        <v>908.4</v>
      </c>
      <c r="H4" s="161"/>
      <c r="I4" s="154">
        <v>70</v>
      </c>
      <c r="J4" s="152"/>
      <c r="K4" s="153"/>
      <c r="L4" s="153"/>
      <c r="M4" s="153">
        <v>0</v>
      </c>
      <c r="N4" s="158"/>
      <c r="O4" s="152"/>
      <c r="P4" s="159" t="str">
        <f>HYPERLINK("http://www.supermicro.com/products/motherboard/Xeon/D/X10SDV-F.cfm","http://www.supermicro.com/products/motherboard/Xeon/D/X10SDV-F.cfm")</f>
        <v>http://www.supermicro.com/products/motherboard/Xeon/D/X10SDV-F.cfm</v>
      </c>
      <c r="Q4" s="145"/>
      <c r="R4" s="145" t="s">
        <v>236</v>
      </c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</row>
    <row r="5" spans="1:29" ht="15.75" hidden="1" customHeight="1" x14ac:dyDescent="0.15">
      <c r="A5" s="145" t="s">
        <v>231</v>
      </c>
      <c r="B5" s="156" t="s">
        <v>232</v>
      </c>
      <c r="C5" s="146" t="s">
        <v>237</v>
      </c>
      <c r="D5" s="147">
        <f t="shared" si="0"/>
        <v>0</v>
      </c>
      <c r="E5" s="157">
        <v>0</v>
      </c>
      <c r="F5" s="149">
        <f t="shared" si="1"/>
        <v>330</v>
      </c>
      <c r="G5" s="150">
        <v>300</v>
      </c>
      <c r="H5" s="161">
        <v>1</v>
      </c>
      <c r="I5" s="154">
        <v>50</v>
      </c>
      <c r="J5" s="152"/>
      <c r="K5" s="153"/>
      <c r="L5" s="153"/>
      <c r="M5" s="153"/>
      <c r="N5" s="158"/>
      <c r="O5" s="152">
        <v>0.5</v>
      </c>
      <c r="P5" s="159" t="str">
        <f>HYPERLINK("http://www.supermicro.com/products/chassis/1u/813/sc813mtq-350c.cfm","http://www.supermicro.com/products/chassis/1u/813/sc813mtq-350c.cfm")</f>
        <v>http://www.supermicro.com/products/chassis/1u/813/sc813mtq-350c.cfm</v>
      </c>
      <c r="Q5" s="145"/>
      <c r="R5" s="145" t="s">
        <v>238</v>
      </c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29" ht="15.75" hidden="1" customHeight="1" x14ac:dyDescent="0.15">
      <c r="A6" s="145" t="s">
        <v>231</v>
      </c>
      <c r="B6" s="156" t="s">
        <v>232</v>
      </c>
      <c r="C6" s="146" t="s">
        <v>239</v>
      </c>
      <c r="D6" s="147">
        <f t="shared" si="0"/>
        <v>0</v>
      </c>
      <c r="E6" s="157">
        <v>0</v>
      </c>
      <c r="F6" s="149">
        <f t="shared" si="1"/>
        <v>550</v>
      </c>
      <c r="G6" s="150">
        <v>500</v>
      </c>
      <c r="H6" s="161">
        <v>1</v>
      </c>
      <c r="I6" s="154">
        <v>50</v>
      </c>
      <c r="J6" s="152"/>
      <c r="K6" s="153"/>
      <c r="L6" s="153"/>
      <c r="M6" s="153"/>
      <c r="N6" s="158"/>
      <c r="O6" s="152">
        <v>1</v>
      </c>
      <c r="P6" s="159" t="str">
        <f>HYPERLINK("http://www.supermicro.com/products/chassis/1U/813/SC813MTQ-R400C.cfm","http://www.supermicro.com/products/chassis/1U/813/SC813MTQ-R400C.cfm")</f>
        <v>http://www.supermicro.com/products/chassis/1U/813/SC813MTQ-R400C.cfm</v>
      </c>
      <c r="Q6" s="145"/>
      <c r="R6" s="145" t="s">
        <v>240</v>
      </c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</row>
    <row r="7" spans="1:29" ht="15.75" hidden="1" customHeight="1" x14ac:dyDescent="0.15">
      <c r="A7" s="145" t="s">
        <v>231</v>
      </c>
      <c r="B7" s="156" t="s">
        <v>232</v>
      </c>
      <c r="C7" s="146" t="s">
        <v>241</v>
      </c>
      <c r="D7" s="147">
        <f t="shared" si="0"/>
        <v>0</v>
      </c>
      <c r="E7" s="157">
        <v>0</v>
      </c>
      <c r="F7" s="149">
        <f t="shared" si="1"/>
        <v>14300.000000000002</v>
      </c>
      <c r="G7" s="150">
        <v>13000</v>
      </c>
      <c r="H7" s="161">
        <v>6</v>
      </c>
      <c r="I7" s="154">
        <v>100</v>
      </c>
      <c r="J7" s="152"/>
      <c r="K7" s="153"/>
      <c r="L7" s="153"/>
      <c r="M7" s="153"/>
      <c r="N7" s="158"/>
      <c r="O7" s="152">
        <v>2</v>
      </c>
      <c r="P7" s="159" t="str">
        <f>HYPERLINK("http://www.supermicro.nl/products/MicroBlade/enclosure/","http://www.supermicro.nl/products/MicroBlade/enclosure/")</f>
        <v>http://www.supermicro.nl/products/MicroBlade/enclosure/</v>
      </c>
      <c r="Q7" s="145"/>
      <c r="R7" s="145" t="s">
        <v>250</v>
      </c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</row>
    <row r="8" spans="1:29" ht="15.75" hidden="1" customHeight="1" x14ac:dyDescent="0.15">
      <c r="A8" s="145" t="s">
        <v>231</v>
      </c>
      <c r="B8" s="156" t="s">
        <v>232</v>
      </c>
      <c r="C8" s="146" t="s">
        <v>254</v>
      </c>
      <c r="D8" s="147">
        <f t="shared" si="0"/>
        <v>0</v>
      </c>
      <c r="E8" s="157">
        <v>0</v>
      </c>
      <c r="F8" s="149">
        <f t="shared" si="1"/>
        <v>2090</v>
      </c>
      <c r="G8" s="150">
        <v>1900</v>
      </c>
      <c r="H8" s="151"/>
      <c r="I8" s="154">
        <v>20</v>
      </c>
      <c r="J8" s="152"/>
      <c r="K8" s="153"/>
      <c r="L8" s="153"/>
      <c r="M8" s="152"/>
      <c r="N8" s="158"/>
      <c r="O8" s="152"/>
      <c r="P8" s="159" t="str">
        <f>HYPERLINK("http://www.supermicro.nl/products/MicroBlade/module/MBI-6218G-T41X.cfm","http://www.supermicro.nl/products/MicroBlade/module/MBI-6218G-T41X.cfm")</f>
        <v>http://www.supermicro.nl/products/MicroBlade/module/MBI-6218G-T41X.cfm</v>
      </c>
      <c r="Q8" s="145"/>
      <c r="R8" s="145" t="s">
        <v>256</v>
      </c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</row>
    <row r="9" spans="1:29" ht="15.75" hidden="1" customHeight="1" x14ac:dyDescent="0.15">
      <c r="A9" s="145" t="s">
        <v>231</v>
      </c>
      <c r="B9" s="156" t="s">
        <v>232</v>
      </c>
      <c r="C9" s="146" t="s">
        <v>257</v>
      </c>
      <c r="D9" s="147">
        <f t="shared" si="0"/>
        <v>0</v>
      </c>
      <c r="E9" s="157">
        <v>0</v>
      </c>
      <c r="F9" s="149">
        <f t="shared" si="1"/>
        <v>1199</v>
      </c>
      <c r="G9" s="150">
        <v>1090</v>
      </c>
      <c r="H9" s="151"/>
      <c r="I9" s="154">
        <v>20</v>
      </c>
      <c r="J9" s="152"/>
      <c r="K9" s="153"/>
      <c r="L9" s="153"/>
      <c r="M9" s="152"/>
      <c r="N9" s="158"/>
      <c r="O9" s="152"/>
      <c r="P9" s="159" t="str">
        <f>HYPERLINK("http://www.supermicro.nl/products/MicroBlade/module/MBI-6118G-T41X.cfm","http://www.supermicro.nl/products/MicroBlade/module/MBI-6118G-T41X.cfm")</f>
        <v>http://www.supermicro.nl/products/MicroBlade/module/MBI-6118G-T41X.cfm</v>
      </c>
      <c r="Q9" s="145"/>
      <c r="R9" s="145" t="s">
        <v>259</v>
      </c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</row>
    <row r="10" spans="1:29" ht="15.75" hidden="1" customHeight="1" x14ac:dyDescent="0.15">
      <c r="A10" s="156" t="s">
        <v>231</v>
      </c>
      <c r="B10" s="156" t="s">
        <v>232</v>
      </c>
      <c r="C10" s="146" t="s">
        <v>260</v>
      </c>
      <c r="D10" s="147">
        <f t="shared" si="0"/>
        <v>0</v>
      </c>
      <c r="E10" s="157">
        <v>0</v>
      </c>
      <c r="F10" s="149">
        <f t="shared" si="1"/>
        <v>7150.0000000000009</v>
      </c>
      <c r="G10" s="150">
        <v>6500</v>
      </c>
      <c r="H10" s="161">
        <v>4</v>
      </c>
      <c r="I10" s="154">
        <v>200</v>
      </c>
      <c r="J10" s="152"/>
      <c r="K10" s="153"/>
      <c r="L10" s="153"/>
      <c r="M10" s="153"/>
      <c r="N10" s="158"/>
      <c r="O10" s="152"/>
      <c r="P10" s="159" t="str">
        <f>HYPERLINK("http://www.supermicro.nl/products/system/4U/F628/SYS-F628R3-RC1BPT_.cfm","http://www.supermicro.nl/products/system/4U/F628/SYS-F628R3-RC1BPT_.cfm")</f>
        <v>http://www.supermicro.nl/products/system/4U/F628/SYS-F628R3-RC1BPT_.cfm</v>
      </c>
      <c r="Q10" s="145"/>
      <c r="R10" s="156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</row>
    <row r="11" spans="1:29" ht="15.75" hidden="1" customHeight="1" x14ac:dyDescent="0.15">
      <c r="A11" s="145" t="s">
        <v>231</v>
      </c>
      <c r="B11" s="156" t="s">
        <v>232</v>
      </c>
      <c r="C11" s="146" t="s">
        <v>261</v>
      </c>
      <c r="D11" s="147">
        <f t="shared" si="0"/>
        <v>0</v>
      </c>
      <c r="E11" s="157">
        <v>0</v>
      </c>
      <c r="F11" s="149">
        <f t="shared" si="1"/>
        <v>1650.0000000000002</v>
      </c>
      <c r="G11" s="150">
        <v>1500</v>
      </c>
      <c r="H11" s="161">
        <v>4</v>
      </c>
      <c r="I11" s="154">
        <v>70</v>
      </c>
      <c r="J11" s="152"/>
      <c r="K11" s="153"/>
      <c r="L11" s="153"/>
      <c r="M11" s="153"/>
      <c r="N11" s="158"/>
      <c r="O11" s="152">
        <v>1</v>
      </c>
      <c r="P11" s="159" t="s">
        <v>264</v>
      </c>
      <c r="Q11" s="145"/>
      <c r="R11" s="145" t="s">
        <v>265</v>
      </c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</row>
    <row r="12" spans="1:29" ht="15.75" hidden="1" customHeight="1" x14ac:dyDescent="0.15">
      <c r="A12" s="145" t="s">
        <v>231</v>
      </c>
      <c r="B12" s="156" t="s">
        <v>232</v>
      </c>
      <c r="C12" s="146" t="s">
        <v>266</v>
      </c>
      <c r="D12" s="147">
        <f t="shared" si="0"/>
        <v>0</v>
      </c>
      <c r="E12" s="157">
        <v>0</v>
      </c>
      <c r="F12" s="149">
        <f t="shared" si="1"/>
        <v>6559.3</v>
      </c>
      <c r="G12" s="150">
        <v>5963</v>
      </c>
      <c r="H12" s="151">
        <v>2</v>
      </c>
      <c r="I12" s="145">
        <v>200</v>
      </c>
      <c r="J12" s="152"/>
      <c r="K12" s="153"/>
      <c r="L12" s="153"/>
      <c r="M12" s="153"/>
      <c r="N12" s="158"/>
      <c r="O12" s="152">
        <v>1</v>
      </c>
      <c r="P12" s="159" t="str">
        <f>HYPERLINK("http://www.supermicro.com.tw/products/system/2U/2028/SYS-2028TR-H72FR.cfm","http://www.supermicro.com.tw/products/system/2U/2028/SYS-2028TR-H72FR.cfm")</f>
        <v>http://www.supermicro.com.tw/products/system/2U/2028/SYS-2028TR-H72FR.cfm</v>
      </c>
      <c r="Q12" s="145"/>
      <c r="R12" s="145" t="s">
        <v>270</v>
      </c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</row>
    <row r="13" spans="1:29" ht="15.75" hidden="1" customHeight="1" x14ac:dyDescent="0.15">
      <c r="A13" s="145" t="s">
        <v>231</v>
      </c>
      <c r="B13" s="156" t="s">
        <v>232</v>
      </c>
      <c r="C13" s="146" t="s">
        <v>271</v>
      </c>
      <c r="D13" s="147">
        <f t="shared" si="0"/>
        <v>0</v>
      </c>
      <c r="E13" s="157">
        <v>0</v>
      </c>
      <c r="F13" s="149">
        <f t="shared" si="1"/>
        <v>9575.0710000000017</v>
      </c>
      <c r="G13" s="150">
        <v>8704.61</v>
      </c>
      <c r="H13" s="151">
        <v>4</v>
      </c>
      <c r="I13" s="145">
        <v>80</v>
      </c>
      <c r="J13" s="152"/>
      <c r="K13" s="153"/>
      <c r="L13" s="153"/>
      <c r="M13" s="153"/>
      <c r="N13" s="158"/>
      <c r="O13" s="152">
        <v>1</v>
      </c>
      <c r="P13" s="159" t="str">
        <f>HYPERLINK("http://www.supermicro.com/products/system/4U/F618/SYS-F618R2-RTN_.cfm","http://www.supermicro.com/products/system/4U/F618/SYS-F618R2-RTN_.cfm")</f>
        <v>http://www.supermicro.com/products/system/4U/F618/SYS-F618R2-RTN_.cfm</v>
      </c>
      <c r="Q13" s="145"/>
      <c r="R13" s="145" t="s">
        <v>273</v>
      </c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</row>
    <row r="14" spans="1:29" ht="15.75" hidden="1" customHeight="1" x14ac:dyDescent="0.15">
      <c r="A14" s="145" t="s">
        <v>231</v>
      </c>
      <c r="B14" s="156" t="s">
        <v>232</v>
      </c>
      <c r="C14" s="146" t="s">
        <v>274</v>
      </c>
      <c r="D14" s="147">
        <f t="shared" si="0"/>
        <v>0</v>
      </c>
      <c r="E14" s="157">
        <v>0</v>
      </c>
      <c r="F14" s="149">
        <f t="shared" si="1"/>
        <v>1650.0000000000002</v>
      </c>
      <c r="G14" s="150">
        <v>1500</v>
      </c>
      <c r="H14" s="151">
        <v>2</v>
      </c>
      <c r="I14" s="145">
        <v>100</v>
      </c>
      <c r="J14" s="152"/>
      <c r="K14" s="153"/>
      <c r="L14" s="153"/>
      <c r="M14" s="153"/>
      <c r="N14" s="158"/>
      <c r="O14" s="152">
        <v>1</v>
      </c>
      <c r="P14" s="159"/>
      <c r="Q14" s="145"/>
      <c r="R14" s="145" t="s">
        <v>274</v>
      </c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</row>
    <row r="15" spans="1:29" ht="15.75" hidden="1" customHeight="1" x14ac:dyDescent="0.15">
      <c r="A15" s="145" t="s">
        <v>231</v>
      </c>
      <c r="B15" s="156" t="s">
        <v>232</v>
      </c>
      <c r="C15" s="146" t="s">
        <v>277</v>
      </c>
      <c r="D15" s="147">
        <f t="shared" si="0"/>
        <v>0</v>
      </c>
      <c r="E15" s="157">
        <v>0</v>
      </c>
      <c r="F15" s="149">
        <f t="shared" si="1"/>
        <v>0</v>
      </c>
      <c r="G15" s="150">
        <v>0</v>
      </c>
      <c r="H15" s="151"/>
      <c r="I15" s="145">
        <v>20</v>
      </c>
      <c r="J15" s="152"/>
      <c r="K15" s="153"/>
      <c r="L15" s="153"/>
      <c r="M15" s="153"/>
      <c r="N15" s="158"/>
      <c r="O15" s="152"/>
      <c r="P15" s="159"/>
      <c r="Q15" s="145"/>
      <c r="R15" s="145" t="s">
        <v>278</v>
      </c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</row>
    <row r="16" spans="1:29" ht="15.75" hidden="1" customHeight="1" x14ac:dyDescent="0.15">
      <c r="A16" s="145" t="s">
        <v>231</v>
      </c>
      <c r="B16" s="156" t="s">
        <v>232</v>
      </c>
      <c r="C16" s="146" t="s">
        <v>279</v>
      </c>
      <c r="D16" s="147">
        <f t="shared" si="0"/>
        <v>0</v>
      </c>
      <c r="E16" s="157">
        <v>0</v>
      </c>
      <c r="F16" s="149">
        <f t="shared" si="1"/>
        <v>550</v>
      </c>
      <c r="G16" s="150">
        <v>500</v>
      </c>
      <c r="H16" s="151">
        <v>0.5</v>
      </c>
      <c r="I16" s="145"/>
      <c r="J16" s="152"/>
      <c r="K16" s="153"/>
      <c r="L16" s="153"/>
      <c r="M16" s="153"/>
      <c r="N16" s="158"/>
      <c r="O16" s="152">
        <v>1</v>
      </c>
      <c r="P16" s="159" t="str">
        <f>HYPERLINK("http://www.shuttle.eu/products/nano/nc01u5/","http://www.shuttle.eu/products/nano/nc01u5/")</f>
        <v>http://www.shuttle.eu/products/nano/nc01u5/</v>
      </c>
      <c r="Q16" s="145"/>
      <c r="R16" s="145" t="s">
        <v>281</v>
      </c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</row>
    <row r="17" spans="1:29" ht="15.75" hidden="1" customHeight="1" x14ac:dyDescent="0.15">
      <c r="A17" s="145" t="s">
        <v>231</v>
      </c>
      <c r="B17" s="145" t="s">
        <v>282</v>
      </c>
      <c r="C17" s="146" t="str">
        <f>VLOOKUP($A17,CPU!$B:$P,2,FALSE)</f>
        <v>Intel Xeon D-1541</v>
      </c>
      <c r="D17" s="147">
        <f t="shared" si="0"/>
        <v>0</v>
      </c>
      <c r="E17" s="157">
        <v>0</v>
      </c>
      <c r="F17" s="149">
        <f t="shared" si="1"/>
        <v>550</v>
      </c>
      <c r="G17" s="175">
        <f>VLOOKUP($A17,CPU!$B:$P,3,FALSE)</f>
        <v>500</v>
      </c>
      <c r="H17" s="151"/>
      <c r="I17" s="145">
        <f>VLOOKUP($A17,CPU!$B:$P,13,FALSE)*0.7</f>
        <v>31.499999999999996</v>
      </c>
      <c r="J17" s="152"/>
      <c r="K17" s="153"/>
      <c r="L17" s="153"/>
      <c r="M17" s="145">
        <f>VLOOKUP($A17,CPU!$B:$P,5,FALSE)</f>
        <v>16</v>
      </c>
      <c r="N17" s="177" t="str">
        <f>VLOOKUP($A17,CPU!$B:$P,14,FALSE)</f>
        <v>11909</v>
      </c>
      <c r="O17" s="152"/>
      <c r="P17" s="159"/>
      <c r="Q17" s="145"/>
      <c r="R17" s="145" t="s">
        <v>294</v>
      </c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</row>
    <row r="18" spans="1:29" ht="15.75" hidden="1" customHeight="1" x14ac:dyDescent="0.15">
      <c r="A18" s="145" t="s">
        <v>231</v>
      </c>
      <c r="B18" s="145" t="s">
        <v>282</v>
      </c>
      <c r="C18" s="146" t="str">
        <f>VLOOKUP($A18,CPU!$B:$P,2,FALSE)</f>
        <v>Intel Xeon D-1541</v>
      </c>
      <c r="D18" s="147">
        <f t="shared" si="0"/>
        <v>0</v>
      </c>
      <c r="E18" s="157">
        <v>0</v>
      </c>
      <c r="F18" s="149">
        <f t="shared" si="1"/>
        <v>550</v>
      </c>
      <c r="G18" s="175">
        <f>VLOOKUP($A18,CPU!$B:$P,3,FALSE)</f>
        <v>500</v>
      </c>
      <c r="H18" s="151"/>
      <c r="I18" s="145">
        <f>VLOOKUP($A18,CPU!$B:$P,13,FALSE)*0.7</f>
        <v>31.499999999999996</v>
      </c>
      <c r="J18" s="152"/>
      <c r="K18" s="153"/>
      <c r="L18" s="153"/>
      <c r="M18" s="145">
        <f>VLOOKUP($A18,CPU!$B:$P,5,FALSE)</f>
        <v>16</v>
      </c>
      <c r="N18" s="180" t="str">
        <f>VLOOKUP($A18,CPU!$B:$P,14,FALSE)</f>
        <v>11909</v>
      </c>
      <c r="O18" s="152"/>
      <c r="P18" s="145"/>
      <c r="Q18" s="145"/>
      <c r="R18" s="145" t="s">
        <v>295</v>
      </c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</row>
    <row r="19" spans="1:29" ht="15.75" hidden="1" customHeight="1" x14ac:dyDescent="0.15">
      <c r="A19" s="145" t="s">
        <v>231</v>
      </c>
      <c r="B19" s="145" t="s">
        <v>282</v>
      </c>
      <c r="C19" s="146" t="str">
        <f>VLOOKUP($A19,CPU!$B:$P,2,FALSE)</f>
        <v>Intel Xeon D-1541</v>
      </c>
      <c r="D19" s="147">
        <f t="shared" si="0"/>
        <v>0</v>
      </c>
      <c r="E19" s="157">
        <v>0</v>
      </c>
      <c r="F19" s="149">
        <f t="shared" si="1"/>
        <v>550</v>
      </c>
      <c r="G19" s="175">
        <f>VLOOKUP($A19,CPU!$B:$P,3,FALSE)</f>
        <v>500</v>
      </c>
      <c r="H19" s="151"/>
      <c r="I19" s="145">
        <f>VLOOKUP($A19,CPU!$B:$P,13,FALSE)*0.7</f>
        <v>31.499999999999996</v>
      </c>
      <c r="J19" s="152"/>
      <c r="K19" s="153"/>
      <c r="L19" s="153"/>
      <c r="M19" s="145">
        <f>VLOOKUP($A19,CPU!$B:$P,5,FALSE)</f>
        <v>16</v>
      </c>
      <c r="N19" s="180" t="str">
        <f>VLOOKUP($A19,CPU!$B:$P,14,FALSE)</f>
        <v>11909</v>
      </c>
      <c r="O19" s="152"/>
      <c r="P19" s="181"/>
      <c r="Q19" s="145"/>
      <c r="R19" s="145" t="s">
        <v>296</v>
      </c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</row>
    <row r="20" spans="1:29" ht="15.75" hidden="1" customHeight="1" x14ac:dyDescent="0.15">
      <c r="A20" s="145" t="s">
        <v>231</v>
      </c>
      <c r="B20" s="145" t="s">
        <v>282</v>
      </c>
      <c r="C20" s="146" t="s">
        <v>297</v>
      </c>
      <c r="D20" s="147">
        <f t="shared" si="0"/>
        <v>0</v>
      </c>
      <c r="E20" s="157">
        <v>0</v>
      </c>
      <c r="F20" s="149">
        <f t="shared" si="1"/>
        <v>2860.0000000000005</v>
      </c>
      <c r="G20" s="175">
        <v>2600</v>
      </c>
      <c r="H20" s="151"/>
      <c r="I20" s="145">
        <v>135</v>
      </c>
      <c r="J20" s="152"/>
      <c r="K20" s="153"/>
      <c r="L20" s="153"/>
      <c r="M20" s="145">
        <v>16</v>
      </c>
      <c r="N20" s="145">
        <v>21000</v>
      </c>
      <c r="O20" s="152"/>
      <c r="P20" s="159"/>
      <c r="Q20" s="145"/>
      <c r="R20" s="145" t="s">
        <v>298</v>
      </c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</row>
    <row r="21" spans="1:29" ht="15.75" hidden="1" customHeight="1" x14ac:dyDescent="0.15">
      <c r="A21" s="145" t="s">
        <v>231</v>
      </c>
      <c r="B21" s="145" t="s">
        <v>282</v>
      </c>
      <c r="C21" s="146" t="str">
        <f>VLOOKUP($A21,CPU!$B:$P,2,FALSE)</f>
        <v>Intel Xeon D-1541</v>
      </c>
      <c r="D21" s="147">
        <f t="shared" si="0"/>
        <v>0</v>
      </c>
      <c r="E21" s="157">
        <v>0</v>
      </c>
      <c r="F21" s="149">
        <f t="shared" si="1"/>
        <v>550</v>
      </c>
      <c r="G21" s="175">
        <f>VLOOKUP($A21,CPU!$B:$P,3,FALSE)</f>
        <v>500</v>
      </c>
      <c r="H21" s="151"/>
      <c r="I21" s="145">
        <f>VLOOKUP($A21,CPU!$B:$P,13,FALSE)*0.7</f>
        <v>31.499999999999996</v>
      </c>
      <c r="J21" s="152"/>
      <c r="K21" s="153"/>
      <c r="L21" s="153"/>
      <c r="M21" s="145">
        <f>VLOOKUP($A21,CPU!$B:$P,5,FALSE)</f>
        <v>16</v>
      </c>
      <c r="N21" s="180" t="str">
        <f>VLOOKUP($A21,CPU!$B:$P,14,FALSE)</f>
        <v>11909</v>
      </c>
      <c r="O21" s="152"/>
      <c r="P21" s="159"/>
      <c r="Q21" s="145"/>
      <c r="R21" s="145" t="s">
        <v>299</v>
      </c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</row>
    <row r="22" spans="1:29" ht="15.75" hidden="1" customHeight="1" x14ac:dyDescent="0.15">
      <c r="A22" s="145" t="s">
        <v>231</v>
      </c>
      <c r="B22" s="156" t="s">
        <v>4</v>
      </c>
      <c r="C22" s="146" t="s">
        <v>300</v>
      </c>
      <c r="D22" s="147">
        <f t="shared" si="0"/>
        <v>0</v>
      </c>
      <c r="E22" s="157">
        <v>0</v>
      </c>
      <c r="F22" s="149">
        <f t="shared" si="1"/>
        <v>132</v>
      </c>
      <c r="G22" s="150">
        <v>120</v>
      </c>
      <c r="H22" s="151"/>
      <c r="I22" s="154">
        <v>6</v>
      </c>
      <c r="J22" s="152"/>
      <c r="K22" s="153"/>
      <c r="L22" s="152"/>
      <c r="M22" s="153"/>
      <c r="N22" s="182"/>
      <c r="O22" s="152"/>
      <c r="P22" s="181"/>
      <c r="Q22" s="145"/>
      <c r="R22" s="145" t="s">
        <v>301</v>
      </c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</row>
    <row r="23" spans="1:29" ht="15.75" hidden="1" customHeight="1" x14ac:dyDescent="0.15">
      <c r="A23" s="145" t="s">
        <v>231</v>
      </c>
      <c r="B23" s="156" t="s">
        <v>4</v>
      </c>
      <c r="C23" s="146" t="s">
        <v>302</v>
      </c>
      <c r="D23" s="147">
        <f t="shared" si="0"/>
        <v>0</v>
      </c>
      <c r="E23" s="157">
        <v>0</v>
      </c>
      <c r="F23" s="149">
        <f t="shared" si="1"/>
        <v>385.00000000000006</v>
      </c>
      <c r="G23" s="150">
        <v>350</v>
      </c>
      <c r="H23" s="151"/>
      <c r="I23" s="154">
        <v>7</v>
      </c>
      <c r="J23" s="152"/>
      <c r="K23" s="153"/>
      <c r="L23" s="152">
        <v>32</v>
      </c>
      <c r="M23" s="183"/>
      <c r="N23" s="182"/>
      <c r="O23" s="152"/>
      <c r="P23" s="181" t="str">
        <f>HYPERLINK("https://drive.google.com/drive/folders/0BxDW4Ld4PrHwaTFuVkV4QmExcUU","https://drive.google.com/drive/folders/0BxDW4Ld4PrHwaTFuVkV4QmExcUU")</f>
        <v>https://drive.google.com/drive/folders/0BxDW4Ld4PrHwaTFuVkV4QmExcUU</v>
      </c>
      <c r="Q23" s="145"/>
      <c r="R23" s="145" t="s">
        <v>303</v>
      </c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</row>
    <row r="24" spans="1:29" ht="15.75" hidden="1" customHeight="1" x14ac:dyDescent="0.15">
      <c r="A24" s="145" t="s">
        <v>231</v>
      </c>
      <c r="B24" s="156" t="s">
        <v>304</v>
      </c>
      <c r="C24" s="146" t="s">
        <v>305</v>
      </c>
      <c r="D24" s="147">
        <f t="shared" si="0"/>
        <v>0</v>
      </c>
      <c r="E24" s="157">
        <v>0</v>
      </c>
      <c r="F24" s="149">
        <f t="shared" si="1"/>
        <v>825.00000000000011</v>
      </c>
      <c r="G24" s="150">
        <v>750</v>
      </c>
      <c r="H24" s="151"/>
      <c r="I24" s="154">
        <v>6</v>
      </c>
      <c r="J24" s="152"/>
      <c r="K24" s="153"/>
      <c r="L24" s="153"/>
      <c r="M24" s="183"/>
      <c r="N24" s="184"/>
      <c r="O24" s="152"/>
      <c r="P24" s="185" t="str">
        <f>HYPERLINK("http://www.intel.com/content/www/us/en/solid-state-drives/ssd-dc-p3700-spec.html","http://www.intel.com/content/www/us/en/solid-state-drives/ssd-dc-p3700-spec.html")</f>
        <v>http://www.intel.com/content/www/us/en/solid-state-drives/ssd-dc-p3700-spec.html</v>
      </c>
      <c r="Q24" s="145"/>
      <c r="R24" s="145" t="s">
        <v>306</v>
      </c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</row>
    <row r="25" spans="1:29" ht="15.75" hidden="1" customHeight="1" x14ac:dyDescent="0.15">
      <c r="A25" s="145" t="s">
        <v>231</v>
      </c>
      <c r="B25" s="156" t="s">
        <v>304</v>
      </c>
      <c r="C25" s="186" t="s">
        <v>307</v>
      </c>
      <c r="D25" s="147">
        <f t="shared" si="0"/>
        <v>0</v>
      </c>
      <c r="E25" s="157">
        <v>0</v>
      </c>
      <c r="F25" s="149">
        <f t="shared" si="1"/>
        <v>264</v>
      </c>
      <c r="G25" s="150">
        <f>G22*2</f>
        <v>240</v>
      </c>
      <c r="H25" s="151"/>
      <c r="I25" s="154">
        <v>6</v>
      </c>
      <c r="J25" s="152">
        <v>0.98</v>
      </c>
      <c r="K25" s="153"/>
      <c r="L25" s="153"/>
      <c r="M25" s="183"/>
      <c r="N25" s="154"/>
      <c r="O25" s="152"/>
      <c r="P25" s="145"/>
      <c r="Q25" s="145"/>
      <c r="R25" s="145" t="s">
        <v>309</v>
      </c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</row>
    <row r="26" spans="1:29" ht="15.75" hidden="1" customHeight="1" x14ac:dyDescent="0.15">
      <c r="A26" s="145" t="s">
        <v>231</v>
      </c>
      <c r="B26" s="156" t="s">
        <v>304</v>
      </c>
      <c r="C26" s="146" t="s">
        <v>310</v>
      </c>
      <c r="D26" s="147">
        <f t="shared" si="0"/>
        <v>0</v>
      </c>
      <c r="E26" s="157">
        <v>0</v>
      </c>
      <c r="F26" s="149">
        <f t="shared" si="1"/>
        <v>1116.72</v>
      </c>
      <c r="G26" s="150">
        <f>846*1.2</f>
        <v>1015.1999999999999</v>
      </c>
      <c r="H26" s="151"/>
      <c r="I26" s="154">
        <v>6</v>
      </c>
      <c r="J26" s="152">
        <v>1.2</v>
      </c>
      <c r="K26" s="153"/>
      <c r="L26" s="153"/>
      <c r="M26" s="183"/>
      <c r="N26" s="154"/>
      <c r="O26" s="152"/>
      <c r="P26" s="187" t="str">
        <f>HYPERLINK("http://ark.intel.com/products/82933/Intel-SSD-DC-S3610-Series-1_2TB-2_5in-SATA-6Gbs-20nm-MLC","http://ark.intel.com/products/82933/Intel-SSD-DC-S3610-Series-1_2TB-2_5in-SATA-6Gbs-20nm-MLC")</f>
        <v>http://ark.intel.com/products/82933/Intel-SSD-DC-S3610-Series-1_2TB-2_5in-SATA-6Gbs-20nm-MLC</v>
      </c>
      <c r="Q26" s="145"/>
      <c r="R26" s="145" t="s">
        <v>311</v>
      </c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</row>
    <row r="27" spans="1:29" ht="15.75" hidden="1" customHeight="1" x14ac:dyDescent="0.15">
      <c r="A27" s="145" t="s">
        <v>231</v>
      </c>
      <c r="B27" s="156" t="s">
        <v>304</v>
      </c>
      <c r="C27" s="146" t="s">
        <v>312</v>
      </c>
      <c r="D27" s="147">
        <f t="shared" si="0"/>
        <v>0</v>
      </c>
      <c r="E27" s="157">
        <v>0</v>
      </c>
      <c r="F27" s="149">
        <f t="shared" si="1"/>
        <v>580.80000000000007</v>
      </c>
      <c r="G27" s="150">
        <f>440*1.2</f>
        <v>528</v>
      </c>
      <c r="H27" s="151"/>
      <c r="I27" s="154">
        <v>6</v>
      </c>
      <c r="J27" s="152">
        <v>0.96</v>
      </c>
      <c r="K27" s="153"/>
      <c r="L27" s="153"/>
      <c r="M27" s="183"/>
      <c r="N27" s="154"/>
      <c r="O27" s="152"/>
      <c r="P27" s="187" t="str">
        <f t="shared" ref="P27:P28" si="2">HYPERLINK("https://www.micron.com/products/datasheets/d16106ce-e7fd-4858-9e46-2981cc357c8e","https://www.micron.com/products/datasheets/d16106ce-e7fd-4858-9e46-2981cc357c8e")</f>
        <v>https://www.micron.com/products/datasheets/d16106ce-e7fd-4858-9e46-2981cc357c8e</v>
      </c>
      <c r="Q27" s="145"/>
      <c r="R27" s="188" t="s">
        <v>313</v>
      </c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</row>
    <row r="28" spans="1:29" ht="15.75" hidden="1" customHeight="1" x14ac:dyDescent="0.15">
      <c r="A28" s="145" t="s">
        <v>231</v>
      </c>
      <c r="B28" s="156" t="s">
        <v>304</v>
      </c>
      <c r="C28" s="146" t="s">
        <v>314</v>
      </c>
      <c r="D28" s="147">
        <f t="shared" si="0"/>
        <v>0</v>
      </c>
      <c r="E28" s="157">
        <v>0</v>
      </c>
      <c r="F28" s="149">
        <f t="shared" si="1"/>
        <v>330</v>
      </c>
      <c r="G28" s="150">
        <v>300</v>
      </c>
      <c r="H28" s="151"/>
      <c r="I28" s="154">
        <v>6</v>
      </c>
      <c r="J28" s="152">
        <v>0.48</v>
      </c>
      <c r="K28" s="153"/>
      <c r="L28" s="153"/>
      <c r="M28" s="183"/>
      <c r="N28" s="154"/>
      <c r="O28" s="152"/>
      <c r="P28" s="189" t="str">
        <f t="shared" si="2"/>
        <v>https://www.micron.com/products/datasheets/d16106ce-e7fd-4858-9e46-2981cc357c8e</v>
      </c>
      <c r="Q28" s="145"/>
      <c r="R28" s="145" t="s">
        <v>315</v>
      </c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</row>
    <row r="29" spans="1:29" ht="15.75" hidden="1" customHeight="1" x14ac:dyDescent="0.15">
      <c r="A29" s="145" t="s">
        <v>231</v>
      </c>
      <c r="B29" s="156" t="s">
        <v>304</v>
      </c>
      <c r="C29" s="146" t="s">
        <v>316</v>
      </c>
      <c r="D29" s="147">
        <f t="shared" si="0"/>
        <v>0</v>
      </c>
      <c r="E29" s="157">
        <v>0</v>
      </c>
      <c r="F29" s="149">
        <f t="shared" si="1"/>
        <v>550</v>
      </c>
      <c r="G29" s="150">
        <v>500</v>
      </c>
      <c r="H29" s="151"/>
      <c r="I29" s="154">
        <v>6</v>
      </c>
      <c r="J29" s="152">
        <v>0.8</v>
      </c>
      <c r="K29" s="153"/>
      <c r="L29" s="153"/>
      <c r="M29" s="183"/>
      <c r="N29" s="154"/>
      <c r="O29" s="152"/>
      <c r="P29" s="190"/>
      <c r="Q29" s="145"/>
      <c r="R29" s="145" t="s">
        <v>317</v>
      </c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</row>
    <row r="30" spans="1:29" ht="15.75" hidden="1" customHeight="1" x14ac:dyDescent="0.15">
      <c r="A30" s="145" t="s">
        <v>231</v>
      </c>
      <c r="B30" s="156" t="s">
        <v>304</v>
      </c>
      <c r="C30" s="146" t="s">
        <v>318</v>
      </c>
      <c r="D30" s="147">
        <f t="shared" si="0"/>
        <v>0</v>
      </c>
      <c r="E30" s="157">
        <v>0</v>
      </c>
      <c r="F30" s="149">
        <f t="shared" si="1"/>
        <v>1984.4000000000003</v>
      </c>
      <c r="G30" s="150">
        <f>1640*1.1</f>
        <v>1804.0000000000002</v>
      </c>
      <c r="H30" s="151"/>
      <c r="I30" s="154">
        <v>6</v>
      </c>
      <c r="J30" s="152">
        <v>3.8</v>
      </c>
      <c r="K30" s="153"/>
      <c r="L30" s="153"/>
      <c r="M30" s="183"/>
      <c r="N30" s="154"/>
      <c r="O30" s="152"/>
      <c r="P30" s="190"/>
      <c r="Q30" s="145"/>
      <c r="R30" s="145" t="s">
        <v>319</v>
      </c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</row>
    <row r="31" spans="1:29" ht="15.75" hidden="1" customHeight="1" x14ac:dyDescent="0.15">
      <c r="A31" s="145" t="s">
        <v>231</v>
      </c>
      <c r="B31" s="156" t="s">
        <v>304</v>
      </c>
      <c r="C31" s="146" t="s">
        <v>320</v>
      </c>
      <c r="D31" s="147">
        <f t="shared" si="0"/>
        <v>0</v>
      </c>
      <c r="E31" s="157">
        <v>0</v>
      </c>
      <c r="F31" s="149">
        <f t="shared" si="1"/>
        <v>770.00000000000011</v>
      </c>
      <c r="G31" s="150">
        <v>700</v>
      </c>
      <c r="H31" s="151"/>
      <c r="I31" s="145">
        <v>6</v>
      </c>
      <c r="J31" s="152">
        <v>0.4</v>
      </c>
      <c r="K31" s="153"/>
      <c r="L31" s="153"/>
      <c r="M31" s="183"/>
      <c r="N31" s="158"/>
      <c r="O31" s="152"/>
      <c r="P31" s="159" t="str">
        <f>HYPERLINK("http://ark.intel.com/products/80997/Intel-SSD-DC-P3600-Series-400GB-2_5in-PCIe-3_0-20nm-MLC","http://ark.intel.com/products/80997/Intel-SSD-DC-P3600-Series-400GB-2_5in-PCIe-3_0-20nm-MLC")</f>
        <v>http://ark.intel.com/products/80997/Intel-SSD-DC-P3600-Series-400GB-2_5in-PCIe-3_0-20nm-MLC</v>
      </c>
      <c r="Q31" s="145"/>
      <c r="R31" s="145" t="s">
        <v>321</v>
      </c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</row>
    <row r="32" spans="1:29" ht="15.75" hidden="1" customHeight="1" x14ac:dyDescent="0.15">
      <c r="A32" s="145" t="s">
        <v>231</v>
      </c>
      <c r="B32" s="156" t="s">
        <v>304</v>
      </c>
      <c r="C32" s="146" t="s">
        <v>322</v>
      </c>
      <c r="D32" s="147">
        <f t="shared" si="0"/>
        <v>0</v>
      </c>
      <c r="E32" s="157">
        <v>0</v>
      </c>
      <c r="F32" s="149">
        <f t="shared" si="1"/>
        <v>1320</v>
      </c>
      <c r="G32" s="150">
        <v>1200</v>
      </c>
      <c r="H32" s="151"/>
      <c r="I32" s="145">
        <v>20</v>
      </c>
      <c r="J32" s="152">
        <v>1.2</v>
      </c>
      <c r="K32" s="153"/>
      <c r="L32" s="153"/>
      <c r="M32" s="183"/>
      <c r="N32" s="154"/>
      <c r="O32" s="152"/>
      <c r="P32" s="145"/>
      <c r="Q32" s="145"/>
      <c r="R32" s="145" t="s">
        <v>324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</row>
    <row r="33" spans="1:29" ht="15.75" hidden="1" customHeight="1" x14ac:dyDescent="0.15">
      <c r="A33" s="145" t="s">
        <v>231</v>
      </c>
      <c r="B33" s="156" t="s">
        <v>304</v>
      </c>
      <c r="C33" s="146" t="s">
        <v>325</v>
      </c>
      <c r="D33" s="147">
        <f t="shared" si="0"/>
        <v>0</v>
      </c>
      <c r="E33" s="157">
        <v>0</v>
      </c>
      <c r="F33" s="149">
        <f t="shared" si="1"/>
        <v>220.00000000000003</v>
      </c>
      <c r="G33" s="150">
        <v>200</v>
      </c>
      <c r="H33" s="151"/>
      <c r="I33" s="145">
        <v>6</v>
      </c>
      <c r="J33" s="152"/>
      <c r="K33" s="153"/>
      <c r="L33" s="153"/>
      <c r="M33" s="153"/>
      <c r="N33" s="154"/>
      <c r="O33" s="152"/>
      <c r="P33" s="191" t="str">
        <f>HYPERLINK("http://www.samsung.com/global/business/semiconductor/minisite/SSD/global/html/ssd950pro/specifications.html","http://www.samsung.com/global/business/semiconductor/minisite/SSD/global/html/ssd950pro/specifications.html")</f>
        <v>http://www.samsung.com/global/business/semiconductor/minisite/SSD/global/html/ssd950pro/specifications.html</v>
      </c>
      <c r="Q33" s="145"/>
      <c r="R33" s="145" t="s">
        <v>326</v>
      </c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</row>
    <row r="34" spans="1:29" ht="15.75" hidden="1" customHeight="1" x14ac:dyDescent="0.15">
      <c r="A34" s="145" t="s">
        <v>231</v>
      </c>
      <c r="B34" s="156" t="s">
        <v>304</v>
      </c>
      <c r="C34" s="146" t="s">
        <v>327</v>
      </c>
      <c r="D34" s="147">
        <f t="shared" si="0"/>
        <v>0</v>
      </c>
      <c r="E34" s="157">
        <v>0</v>
      </c>
      <c r="F34" s="149">
        <f t="shared" si="1"/>
        <v>252.12</v>
      </c>
      <c r="G34" s="175">
        <f>191*1.2</f>
        <v>229.2</v>
      </c>
      <c r="H34" s="151"/>
      <c r="I34" s="145">
        <v>6</v>
      </c>
      <c r="J34" s="152"/>
      <c r="K34" s="153"/>
      <c r="L34" s="153"/>
      <c r="M34" s="153"/>
      <c r="N34" s="154"/>
      <c r="O34" s="152"/>
      <c r="P34" s="191" t="str">
        <f>HYPERLINK("http://www.amazon.com/Transcend-512GB-MTS800-Solid-TS512GMTS800/dp/B00KLTPVV8","http://www.amazon.com/Transcend-512GB-MTS800-Solid-TS512GMTS800/dp/B00KLTPVV8")</f>
        <v>http://www.amazon.com/Transcend-512GB-MTS800-Solid-TS512GMTS800/dp/B00KLTPVV8</v>
      </c>
      <c r="Q34" s="145"/>
      <c r="R34" s="145" t="s">
        <v>328</v>
      </c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</row>
    <row r="35" spans="1:29" ht="17.25" hidden="1" customHeight="1" x14ac:dyDescent="0.15">
      <c r="A35" s="145" t="s">
        <v>231</v>
      </c>
      <c r="B35" s="156" t="s">
        <v>304</v>
      </c>
      <c r="C35" s="146"/>
      <c r="D35" s="147">
        <f t="shared" si="0"/>
        <v>0</v>
      </c>
      <c r="E35" s="157">
        <v>0</v>
      </c>
      <c r="F35" s="149">
        <f t="shared" si="1"/>
        <v>24.750000000000004</v>
      </c>
      <c r="G35" s="175">
        <v>22.5</v>
      </c>
      <c r="H35" s="151"/>
      <c r="I35" s="145"/>
      <c r="J35" s="152"/>
      <c r="K35" s="153"/>
      <c r="L35" s="153"/>
      <c r="M35" s="153"/>
      <c r="N35" s="154"/>
      <c r="O35" s="152"/>
      <c r="P35" s="191" t="str">
        <f>HYPERLINK("http://www.ecprodumall.net/sa164-m2-ngff-pcie-ssd-to-pcie-x4-ngff-sata-adapter-for-samsung-xp941with-low-profile-bracket-p-182.html","http://www.ecprodumall.net/sa164-m2-ngff-pcie-ssd-to-pcie-x4-ngff-sata-adapter-for-samsung-xp941with-low-profile-bracket-p-182.html")</f>
        <v>http://www.ecprodumall.net/sa164-m2-ngff-pcie-ssd-to-pcie-x4-ngff-sata-adapter-for-samsung-xp941with-low-profile-bracket-p-182.html</v>
      </c>
      <c r="Q35" s="145"/>
      <c r="R35" s="145" t="s">
        <v>329</v>
      </c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</row>
    <row r="36" spans="1:29" ht="17.25" hidden="1" customHeight="1" x14ac:dyDescent="0.15">
      <c r="A36" s="145" t="s">
        <v>231</v>
      </c>
      <c r="B36" s="156" t="s">
        <v>304</v>
      </c>
      <c r="C36" s="146" t="s">
        <v>330</v>
      </c>
      <c r="D36" s="147">
        <f t="shared" si="0"/>
        <v>0</v>
      </c>
      <c r="E36" s="157">
        <v>0</v>
      </c>
      <c r="F36" s="149">
        <f t="shared" si="1"/>
        <v>0</v>
      </c>
      <c r="G36" s="175">
        <v>0</v>
      </c>
      <c r="H36" s="151"/>
      <c r="I36" s="145"/>
      <c r="J36" s="152"/>
      <c r="K36" s="153"/>
      <c r="L36" s="153"/>
      <c r="M36" s="153"/>
      <c r="N36" s="154"/>
      <c r="O36" s="152"/>
      <c r="P36" s="145"/>
      <c r="Q36" s="145"/>
      <c r="R36" s="14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</row>
    <row r="37" spans="1:29" ht="17.25" hidden="1" customHeight="1" x14ac:dyDescent="0.15">
      <c r="A37" s="145" t="s">
        <v>231</v>
      </c>
      <c r="B37" s="145" t="s">
        <v>331</v>
      </c>
      <c r="C37" s="146" t="s">
        <v>332</v>
      </c>
      <c r="D37" s="147">
        <f t="shared" si="0"/>
        <v>0</v>
      </c>
      <c r="E37" s="157">
        <v>0</v>
      </c>
      <c r="F37" s="149">
        <f t="shared" si="1"/>
        <v>165</v>
      </c>
      <c r="G37" s="150">
        <v>150</v>
      </c>
      <c r="H37" s="151"/>
      <c r="I37" s="154">
        <v>10</v>
      </c>
      <c r="J37" s="152"/>
      <c r="K37" s="152">
        <v>3</v>
      </c>
      <c r="L37" s="153"/>
      <c r="M37" s="153"/>
      <c r="N37" s="158"/>
      <c r="O37" s="152"/>
      <c r="P37" s="159" t="str">
        <f t="shared" ref="P37:P40" si="3">HYPERLINK("http://www.hgst.com/hard-drives/enterprise-hard-drives/enterprise-sata-drives/ultrastar-7k4000","http://www.hgst.com/hard-drives/enterprise-hard-drives/enterprise-sata-drives/ultrastar-7k4000")</f>
        <v>http://www.hgst.com/hard-drives/enterprise-hard-drives/enterprise-sata-drives/ultrastar-7k4000</v>
      </c>
      <c r="Q37" s="145"/>
      <c r="R37" s="145" t="s">
        <v>333</v>
      </c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</row>
    <row r="38" spans="1:29" ht="17.25" hidden="1" customHeight="1" x14ac:dyDescent="0.15">
      <c r="A38" s="145" t="s">
        <v>231</v>
      </c>
      <c r="B38" s="145" t="s">
        <v>331</v>
      </c>
      <c r="C38" s="146" t="s">
        <v>334</v>
      </c>
      <c r="D38" s="147">
        <f t="shared" si="0"/>
        <v>0</v>
      </c>
      <c r="E38" s="157">
        <v>0</v>
      </c>
      <c r="F38" s="149">
        <f t="shared" si="1"/>
        <v>110.00000000000001</v>
      </c>
      <c r="G38" s="150">
        <v>100</v>
      </c>
      <c r="H38" s="151"/>
      <c r="I38" s="154">
        <v>10</v>
      </c>
      <c r="J38" s="152"/>
      <c r="K38" s="152">
        <v>3</v>
      </c>
      <c r="L38" s="153"/>
      <c r="M38" s="153"/>
      <c r="N38" s="158"/>
      <c r="O38" s="152"/>
      <c r="P38" s="159" t="str">
        <f t="shared" si="3"/>
        <v>http://www.hgst.com/hard-drives/enterprise-hard-drives/enterprise-sata-drives/ultrastar-7k4000</v>
      </c>
      <c r="Q38" s="145"/>
      <c r="R38" s="145" t="s">
        <v>335</v>
      </c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</row>
    <row r="39" spans="1:29" ht="17.25" hidden="1" customHeight="1" x14ac:dyDescent="0.15">
      <c r="A39" s="145" t="s">
        <v>231</v>
      </c>
      <c r="B39" s="145" t="s">
        <v>331</v>
      </c>
      <c r="C39" s="146" t="s">
        <v>336</v>
      </c>
      <c r="D39" s="147">
        <f t="shared" si="0"/>
        <v>0</v>
      </c>
      <c r="E39" s="157">
        <v>0</v>
      </c>
      <c r="F39" s="149">
        <f t="shared" si="1"/>
        <v>253.00000000000003</v>
      </c>
      <c r="G39" s="150">
        <v>230</v>
      </c>
      <c r="H39" s="151"/>
      <c r="I39" s="154">
        <v>10</v>
      </c>
      <c r="J39" s="152"/>
      <c r="K39" s="152">
        <v>4</v>
      </c>
      <c r="L39" s="153"/>
      <c r="M39" s="153"/>
      <c r="N39" s="158"/>
      <c r="O39" s="152"/>
      <c r="P39" s="159" t="str">
        <f t="shared" si="3"/>
        <v>http://www.hgst.com/hard-drives/enterprise-hard-drives/enterprise-sata-drives/ultrastar-7k4000</v>
      </c>
      <c r="Q39" s="145"/>
      <c r="R39" s="145" t="s">
        <v>337</v>
      </c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</row>
    <row r="40" spans="1:29" ht="15.75" hidden="1" customHeight="1" x14ac:dyDescent="0.15">
      <c r="A40" s="145" t="s">
        <v>231</v>
      </c>
      <c r="B40" s="145" t="s">
        <v>331</v>
      </c>
      <c r="C40" s="146" t="s">
        <v>338</v>
      </c>
      <c r="D40" s="147">
        <f t="shared" si="0"/>
        <v>0</v>
      </c>
      <c r="E40" s="157">
        <v>0</v>
      </c>
      <c r="F40" s="149">
        <f t="shared" si="1"/>
        <v>198.00000000000003</v>
      </c>
      <c r="G40" s="150">
        <v>180</v>
      </c>
      <c r="H40" s="151"/>
      <c r="I40" s="154">
        <v>10</v>
      </c>
      <c r="J40" s="152"/>
      <c r="K40" s="152">
        <v>4</v>
      </c>
      <c r="L40" s="153"/>
      <c r="M40" s="153"/>
      <c r="N40" s="158"/>
      <c r="O40" s="152"/>
      <c r="P40" s="159" t="str">
        <f t="shared" si="3"/>
        <v>http://www.hgst.com/hard-drives/enterprise-hard-drives/enterprise-sata-drives/ultrastar-7k4000</v>
      </c>
      <c r="Q40" s="145"/>
      <c r="R40" s="145" t="s">
        <v>339</v>
      </c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</row>
    <row r="41" spans="1:29" ht="15.75" hidden="1" customHeight="1" x14ac:dyDescent="0.15">
      <c r="A41" s="145" t="s">
        <v>231</v>
      </c>
      <c r="B41" s="145" t="s">
        <v>331</v>
      </c>
      <c r="C41" s="146" t="s">
        <v>340</v>
      </c>
      <c r="D41" s="147">
        <f t="shared" si="0"/>
        <v>0</v>
      </c>
      <c r="E41" s="157">
        <v>0</v>
      </c>
      <c r="F41" s="149">
        <f t="shared" si="1"/>
        <v>308</v>
      </c>
      <c r="G41" s="150">
        <v>280</v>
      </c>
      <c r="H41" s="151"/>
      <c r="I41" s="154">
        <v>6</v>
      </c>
      <c r="J41" s="152"/>
      <c r="K41" s="152">
        <v>6</v>
      </c>
      <c r="L41" s="153"/>
      <c r="M41" s="153"/>
      <c r="N41" s="158"/>
      <c r="O41" s="152"/>
      <c r="P41" s="159" t="str">
        <f>HYPERLINK("http://www.newegg.com/Product/Product.aspx?Item=N82E16822178522","http://www.newegg.com/Product/Product.aspx?Item=N82E16822178522")</f>
        <v>http://www.newegg.com/Product/Product.aspx?Item=N82E16822178522</v>
      </c>
      <c r="Q41" s="145"/>
      <c r="R41" s="145" t="s">
        <v>341</v>
      </c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</row>
    <row r="42" spans="1:29" ht="15.75" hidden="1" customHeight="1" x14ac:dyDescent="0.15">
      <c r="A42" s="145" t="s">
        <v>231</v>
      </c>
      <c r="B42" s="145" t="s">
        <v>331</v>
      </c>
      <c r="C42" s="192" t="s">
        <v>342</v>
      </c>
      <c r="D42" s="147">
        <f t="shared" si="0"/>
        <v>0</v>
      </c>
      <c r="E42" s="157">
        <v>0</v>
      </c>
      <c r="F42" s="149">
        <f t="shared" si="1"/>
        <v>387.20000000000005</v>
      </c>
      <c r="G42" s="150">
        <f>320*1.1</f>
        <v>352</v>
      </c>
      <c r="H42" s="151"/>
      <c r="I42" s="154">
        <v>6</v>
      </c>
      <c r="J42" s="152"/>
      <c r="K42" s="152">
        <v>8</v>
      </c>
      <c r="L42" s="153"/>
      <c r="M42" s="153"/>
      <c r="N42" s="158"/>
      <c r="O42" s="152"/>
      <c r="P42" s="159" t="str">
        <f>HYPERLINK("http://www.amazon.com/HGST-Ultrastar-HUH728080ALE600-Platform-Enterprise/dp/B00SA3N4TI","http://www.amazon.com/HGST-Ultrastar-HUH728080ALE600-Platform-Enterprise/dp/B00SA3N4TI")</f>
        <v>http://www.amazon.com/HGST-Ultrastar-HUH728080ALE600-Platform-Enterprise/dp/B00SA3N4TI</v>
      </c>
      <c r="Q42" s="145"/>
      <c r="R42" s="145" t="s">
        <v>343</v>
      </c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</row>
    <row r="43" spans="1:29" ht="15.75" hidden="1" customHeight="1" x14ac:dyDescent="0.15">
      <c r="A43" s="145" t="s">
        <v>231</v>
      </c>
      <c r="B43" s="145" t="s">
        <v>331</v>
      </c>
      <c r="C43" s="146"/>
      <c r="D43" s="147">
        <f t="shared" si="0"/>
        <v>0</v>
      </c>
      <c r="E43" s="157">
        <v>0</v>
      </c>
      <c r="F43" s="149">
        <f t="shared" si="1"/>
        <v>253.00000000000003</v>
      </c>
      <c r="G43" s="150">
        <v>230</v>
      </c>
      <c r="H43" s="151"/>
      <c r="I43" s="154">
        <v>6</v>
      </c>
      <c r="J43" s="152"/>
      <c r="K43" s="152">
        <v>8</v>
      </c>
      <c r="L43" s="153"/>
      <c r="M43" s="153"/>
      <c r="N43" s="158"/>
      <c r="O43" s="152"/>
      <c r="P43" s="159" t="str">
        <f>HYPERLINK("http://www.seagate.com/gb/en/products/enterprise-servers-storage/nearline-storage/archive-hdd/","http://www.seagate.com/gb/en/products/enterprise-servers-storage/nearline-storage/archive-hdd/")</f>
        <v>http://www.seagate.com/gb/en/products/enterprise-servers-storage/nearline-storage/archive-hdd/</v>
      </c>
      <c r="Q43" s="145"/>
      <c r="R43" s="145" t="s">
        <v>344</v>
      </c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</row>
    <row r="44" spans="1:29" ht="15.75" hidden="1" customHeight="1" x14ac:dyDescent="0.15">
      <c r="A44" s="145" t="s">
        <v>231</v>
      </c>
      <c r="B44" s="145" t="s">
        <v>345</v>
      </c>
      <c r="C44" s="146" t="s">
        <v>346</v>
      </c>
      <c r="D44" s="147">
        <f t="shared" si="0"/>
        <v>0</v>
      </c>
      <c r="E44" s="157">
        <v>0</v>
      </c>
      <c r="F44" s="149">
        <f t="shared" si="1"/>
        <v>495.00000000000006</v>
      </c>
      <c r="G44" s="150">
        <v>450</v>
      </c>
      <c r="H44" s="151"/>
      <c r="I44" s="145"/>
      <c r="J44" s="152"/>
      <c r="K44" s="153"/>
      <c r="L44" s="153"/>
      <c r="M44" s="153"/>
      <c r="N44" s="158"/>
      <c r="O44" s="152"/>
      <c r="P44" s="159" t="str">
        <f>HYPERLINK("http://www.intel.com/content/www/us/en/network-adapters/converged-network-adapters/ethernet-x540.html","http://www.intel.com/content/www/us/en/network-adapters/converged-network-adapters/ethernet-x540.html")</f>
        <v>http://www.intel.com/content/www/us/en/network-adapters/converged-network-adapters/ethernet-x540.html</v>
      </c>
      <c r="Q44" s="145"/>
      <c r="R44" s="14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</row>
    <row r="45" spans="1:29" ht="15.75" hidden="1" customHeight="1" x14ac:dyDescent="0.15">
      <c r="A45" s="145" t="s">
        <v>231</v>
      </c>
      <c r="B45" s="145" t="s">
        <v>345</v>
      </c>
      <c r="C45" s="146" t="s">
        <v>347</v>
      </c>
      <c r="D45" s="147">
        <f t="shared" si="0"/>
        <v>0</v>
      </c>
      <c r="E45" s="157">
        <v>0</v>
      </c>
      <c r="F45" s="149">
        <f t="shared" si="1"/>
        <v>88</v>
      </c>
      <c r="G45" s="150">
        <v>80</v>
      </c>
      <c r="H45" s="151">
        <v>1</v>
      </c>
      <c r="I45" s="154">
        <v>7</v>
      </c>
      <c r="J45" s="152"/>
      <c r="K45" s="153"/>
      <c r="L45" s="153"/>
      <c r="M45" s="153"/>
      <c r="N45" s="158"/>
      <c r="O45" s="152" t="s">
        <v>348</v>
      </c>
      <c r="P45" s="159" t="str">
        <f>HYPERLINK("http://routerboard.com/RB951G-2HnD","http://routerboard.com/RB951G-2HnD")</f>
        <v>http://routerboard.com/RB951G-2HnD</v>
      </c>
      <c r="Q45" s="145"/>
      <c r="R45" s="145" t="s">
        <v>349</v>
      </c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</row>
    <row r="46" spans="1:29" ht="15.75" hidden="1" customHeight="1" x14ac:dyDescent="0.15">
      <c r="A46" s="145" t="s">
        <v>231</v>
      </c>
      <c r="B46" s="145" t="s">
        <v>345</v>
      </c>
      <c r="C46" s="146" t="s">
        <v>350</v>
      </c>
      <c r="D46" s="147">
        <f t="shared" si="0"/>
        <v>0</v>
      </c>
      <c r="E46" s="157">
        <v>0</v>
      </c>
      <c r="F46" s="149">
        <f t="shared" si="1"/>
        <v>440.00000000000006</v>
      </c>
      <c r="G46" s="150">
        <v>400</v>
      </c>
      <c r="H46" s="151">
        <v>1</v>
      </c>
      <c r="I46" s="154">
        <v>35</v>
      </c>
      <c r="J46" s="152"/>
      <c r="K46" s="153"/>
      <c r="L46" s="153"/>
      <c r="M46" s="153"/>
      <c r="N46" s="158"/>
      <c r="O46" s="152" t="s">
        <v>348</v>
      </c>
      <c r="P46" s="159" t="str">
        <f>HYPERLINK("http://routerboard.com/CCR1009-8G-1S-1Splus","http://routerboard.com/CCR1009-8G-1S-1Splus")</f>
        <v>http://routerboard.com/CCR1009-8G-1S-1Splus</v>
      </c>
      <c r="Q46" s="145"/>
      <c r="R46" s="145" t="s">
        <v>351</v>
      </c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</row>
    <row r="47" spans="1:29" ht="15.75" hidden="1" customHeight="1" x14ac:dyDescent="0.15">
      <c r="A47" s="145" t="s">
        <v>231</v>
      </c>
      <c r="B47" s="145" t="s">
        <v>345</v>
      </c>
      <c r="C47" s="146" t="s">
        <v>352</v>
      </c>
      <c r="D47" s="147">
        <f t="shared" si="0"/>
        <v>0</v>
      </c>
      <c r="E47" s="157">
        <v>0</v>
      </c>
      <c r="F47" s="149">
        <f t="shared" si="1"/>
        <v>913.00000000000011</v>
      </c>
      <c r="G47" s="150">
        <v>830</v>
      </c>
      <c r="H47" s="151">
        <v>1</v>
      </c>
      <c r="I47" s="154">
        <v>78</v>
      </c>
      <c r="J47" s="152"/>
      <c r="K47" s="153"/>
      <c r="L47" s="153"/>
      <c r="M47" s="153"/>
      <c r="N47" s="158"/>
      <c r="O47" s="152" t="s">
        <v>348</v>
      </c>
      <c r="P47" s="159" t="str">
        <f>HYPERLINK("http://routerboard.com/CCR1036-8G-2Splus","http://routerboard.com/CCR1036-8G-2Splus")</f>
        <v>http://routerboard.com/CCR1036-8G-2Splus</v>
      </c>
      <c r="Q47" s="145"/>
      <c r="R47" s="145" t="s">
        <v>353</v>
      </c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</row>
    <row r="48" spans="1:29" ht="15.75" hidden="1" customHeight="1" x14ac:dyDescent="0.15">
      <c r="A48" s="145" t="s">
        <v>231</v>
      </c>
      <c r="B48" s="145" t="s">
        <v>345</v>
      </c>
      <c r="C48" s="146" t="s">
        <v>354</v>
      </c>
      <c r="D48" s="147">
        <f t="shared" si="0"/>
        <v>0</v>
      </c>
      <c r="E48" s="157">
        <v>0</v>
      </c>
      <c r="F48" s="149">
        <f t="shared" si="1"/>
        <v>220.00000000000003</v>
      </c>
      <c r="G48" s="150">
        <v>200</v>
      </c>
      <c r="H48" s="151">
        <v>1</v>
      </c>
      <c r="I48" s="154">
        <v>15</v>
      </c>
      <c r="J48" s="152"/>
      <c r="K48" s="153"/>
      <c r="L48" s="153"/>
      <c r="M48" s="153"/>
      <c r="N48" s="158"/>
      <c r="O48" s="152">
        <v>1</v>
      </c>
      <c r="P48" s="159" t="str">
        <f>HYPERLINK("http://routerboard.com/CRS125-24G-1S-RM","http://routerboard.com/CRS125-24G-1S-RM")</f>
        <v>http://routerboard.com/CRS125-24G-1S-RM</v>
      </c>
      <c r="Q48" s="145"/>
      <c r="R48" s="145" t="s">
        <v>355</v>
      </c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</row>
    <row r="49" spans="1:29" ht="15.75" hidden="1" customHeight="1" x14ac:dyDescent="0.15">
      <c r="A49" s="145" t="s">
        <v>231</v>
      </c>
      <c r="B49" s="145" t="s">
        <v>345</v>
      </c>
      <c r="C49" s="146" t="s">
        <v>356</v>
      </c>
      <c r="D49" s="147">
        <f t="shared" si="0"/>
        <v>0</v>
      </c>
      <c r="E49" s="157">
        <v>0</v>
      </c>
      <c r="F49" s="149">
        <f t="shared" si="1"/>
        <v>1633.5000000000002</v>
      </c>
      <c r="G49" s="150">
        <v>1485</v>
      </c>
      <c r="H49" s="151">
        <v>1</v>
      </c>
      <c r="I49" s="154">
        <v>98.2</v>
      </c>
      <c r="J49" s="152"/>
      <c r="K49" s="153"/>
      <c r="L49" s="153"/>
      <c r="M49" s="153"/>
      <c r="N49" s="158"/>
      <c r="O49" s="152" t="s">
        <v>348</v>
      </c>
      <c r="P49" s="191" t="str">
        <f>HYPERLINK("http://www.downloads.netgear.com/files/GDC/datasheet/en/GS516TP-GS728TP-GS728TPP-GS752TP.pdf","http://www.downloads.netgear.com/files/GDC/datasheet/en/GS516TP-GS728TP-GS728TPP-GS752TP.pdf")</f>
        <v>http://www.downloads.netgear.com/files/GDC/datasheet/en/GS516TP-GS728TP-GS728TPP-GS752TP.pdf</v>
      </c>
      <c r="Q49" s="145"/>
      <c r="R49" s="145" t="s">
        <v>357</v>
      </c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</row>
    <row r="50" spans="1:29" ht="15.75" hidden="1" customHeight="1" x14ac:dyDescent="0.15">
      <c r="A50" s="145" t="s">
        <v>231</v>
      </c>
      <c r="B50" s="145" t="s">
        <v>345</v>
      </c>
      <c r="C50" s="146" t="s">
        <v>358</v>
      </c>
      <c r="D50" s="147">
        <f t="shared" si="0"/>
        <v>0</v>
      </c>
      <c r="E50" s="157">
        <v>0</v>
      </c>
      <c r="F50" s="149">
        <f t="shared" si="1"/>
        <v>880.00000000000011</v>
      </c>
      <c r="G50" s="150">
        <v>800</v>
      </c>
      <c r="H50" s="151">
        <v>1</v>
      </c>
      <c r="I50" s="154">
        <v>100</v>
      </c>
      <c r="J50" s="152"/>
      <c r="K50" s="153"/>
      <c r="L50" s="153"/>
      <c r="M50" s="153"/>
      <c r="N50" s="195"/>
      <c r="O50" s="152" t="s">
        <v>348</v>
      </c>
      <c r="P50" s="156"/>
      <c r="Q50" s="145"/>
      <c r="R50" s="145" t="s">
        <v>359</v>
      </c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</row>
    <row r="51" spans="1:29" ht="15.75" hidden="1" customHeight="1" x14ac:dyDescent="0.15">
      <c r="A51" s="145" t="s">
        <v>231</v>
      </c>
      <c r="B51" s="145" t="s">
        <v>345</v>
      </c>
      <c r="C51" s="146" t="s">
        <v>360</v>
      </c>
      <c r="D51" s="147">
        <f t="shared" si="0"/>
        <v>0</v>
      </c>
      <c r="E51" s="157">
        <v>0</v>
      </c>
      <c r="F51" s="149">
        <f t="shared" si="1"/>
        <v>2750</v>
      </c>
      <c r="G51" s="150">
        <v>2500</v>
      </c>
      <c r="H51" s="151">
        <v>1</v>
      </c>
      <c r="I51" s="154">
        <v>48</v>
      </c>
      <c r="J51" s="152"/>
      <c r="K51" s="153"/>
      <c r="L51" s="153"/>
      <c r="M51" s="153"/>
      <c r="N51" s="158"/>
      <c r="O51" s="152">
        <v>2</v>
      </c>
      <c r="P51" s="159" t="str">
        <f>HYPERLINK("http://www.mellanox.com/page/products_dyn?product_family=163&amp;mtag=sx1012","http://www.mellanox.com/page/products_dyn?product_family=163&amp;mtag=sx1012")</f>
        <v>http://www.mellanox.com/page/products_dyn?product_family=163&amp;mtag=sx1012</v>
      </c>
      <c r="Q51" s="145"/>
      <c r="R51" s="145" t="s">
        <v>362</v>
      </c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</row>
    <row r="52" spans="1:29" ht="15.75" hidden="1" customHeight="1" x14ac:dyDescent="0.15">
      <c r="A52" s="145" t="s">
        <v>231</v>
      </c>
      <c r="B52" s="145" t="s">
        <v>345</v>
      </c>
      <c r="C52" s="146" t="s">
        <v>363</v>
      </c>
      <c r="D52" s="147">
        <f t="shared" si="0"/>
        <v>0</v>
      </c>
      <c r="E52" s="157">
        <v>0</v>
      </c>
      <c r="F52" s="149">
        <f t="shared" si="1"/>
        <v>18150</v>
      </c>
      <c r="G52" s="150">
        <v>16500</v>
      </c>
      <c r="H52" s="151"/>
      <c r="I52" s="154">
        <v>100</v>
      </c>
      <c r="J52" s="152"/>
      <c r="K52" s="153"/>
      <c r="L52" s="153"/>
      <c r="M52" s="153"/>
      <c r="N52" s="158"/>
      <c r="O52" s="152" t="s">
        <v>348</v>
      </c>
      <c r="P52" s="159" t="str">
        <f>HYPERLINK("http://www.mellanox.com/page/products_dyn?product_family=115&amp;mtag=sx1036","http://www.mellanox.com/page/products_dyn?product_family=115&amp;mtag=sx1036")</f>
        <v>http://www.mellanox.com/page/products_dyn?product_family=115&amp;mtag=sx1036</v>
      </c>
      <c r="Q52" s="145"/>
      <c r="R52" s="145" t="s">
        <v>364</v>
      </c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</row>
    <row r="53" spans="1:29" ht="15.75" hidden="1" customHeight="1" x14ac:dyDescent="0.15">
      <c r="A53" s="145" t="s">
        <v>231</v>
      </c>
      <c r="B53" s="145" t="s">
        <v>345</v>
      </c>
      <c r="C53" s="146" t="s">
        <v>365</v>
      </c>
      <c r="D53" s="147">
        <f t="shared" si="0"/>
        <v>0</v>
      </c>
      <c r="E53" s="157">
        <v>0</v>
      </c>
      <c r="F53" s="149">
        <f t="shared" si="1"/>
        <v>385.00000000000006</v>
      </c>
      <c r="G53" s="150">
        <v>350</v>
      </c>
      <c r="H53" s="151"/>
      <c r="I53" s="145"/>
      <c r="J53" s="152"/>
      <c r="K53" s="153"/>
      <c r="L53" s="153"/>
      <c r="M53" s="153"/>
      <c r="N53" s="158"/>
      <c r="O53" s="152" t="s">
        <v>348</v>
      </c>
      <c r="P53" s="159" t="str">
        <f>HYPERLINK("https://www.mellanox.com/related-docs/prod_adapter_cards/PB_ConnectX-3_Pro_Card_EN.pdf","https://www.mellanox.com/related-docs/prod_adapter_cards/PB_ConnectX-3_Pro_Card_EN.pdf")</f>
        <v>https://www.mellanox.com/related-docs/prod_adapter_cards/PB_ConnectX-3_Pro_Card_EN.pdf</v>
      </c>
      <c r="Q53" s="145"/>
      <c r="R53" s="145" t="s">
        <v>366</v>
      </c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</row>
    <row r="54" spans="1:29" ht="15.75" hidden="1" customHeight="1" x14ac:dyDescent="0.15">
      <c r="A54" s="145" t="s">
        <v>231</v>
      </c>
      <c r="B54" s="145" t="s">
        <v>345</v>
      </c>
      <c r="C54" s="146" t="s">
        <v>367</v>
      </c>
      <c r="D54" s="147">
        <f t="shared" si="0"/>
        <v>0</v>
      </c>
      <c r="E54" s="157">
        <v>0</v>
      </c>
      <c r="F54" s="149">
        <f t="shared" si="1"/>
        <v>8690</v>
      </c>
      <c r="G54" s="150">
        <v>7900</v>
      </c>
      <c r="H54" s="151">
        <v>1</v>
      </c>
      <c r="I54" s="154">
        <v>376</v>
      </c>
      <c r="J54" s="152"/>
      <c r="K54" s="153"/>
      <c r="L54" s="153"/>
      <c r="M54" s="153"/>
      <c r="N54" s="158"/>
      <c r="O54" s="152" t="s">
        <v>348</v>
      </c>
      <c r="P54" s="159" t="str">
        <f>HYPERLINK("http://www.quantaqct.com/Product/Networking/Ethernet-Switches/T3000-Series/QuantaMesh-T3040-LY3-p36c77c75c158c205","http://www.quantaqct.com/Product/Networking/Ethernet-Switches/T3000-Series/QuantaMesh-T3040-LY3-p36c77c75c158c205")</f>
        <v>http://www.quantaqct.com/Product/Networking/Ethernet-Switches/T3000-Series/QuantaMesh-T3040-LY3-p36c77c75c158c205</v>
      </c>
      <c r="Q54" s="145" t="s">
        <v>369</v>
      </c>
      <c r="R54" s="145" t="s">
        <v>370</v>
      </c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</row>
    <row r="55" spans="1:29" ht="15.75" hidden="1" customHeight="1" x14ac:dyDescent="0.15">
      <c r="A55" s="145" t="s">
        <v>231</v>
      </c>
      <c r="B55" s="145" t="s">
        <v>345</v>
      </c>
      <c r="C55" s="146" t="s">
        <v>371</v>
      </c>
      <c r="D55" s="147">
        <f t="shared" si="0"/>
        <v>0</v>
      </c>
      <c r="E55" s="157">
        <v>0</v>
      </c>
      <c r="F55" s="149">
        <f t="shared" si="1"/>
        <v>8690</v>
      </c>
      <c r="G55" s="150">
        <v>7900</v>
      </c>
      <c r="H55" s="151">
        <v>1</v>
      </c>
      <c r="I55" s="145">
        <v>400</v>
      </c>
      <c r="J55" s="152"/>
      <c r="K55" s="153"/>
      <c r="L55" s="153"/>
      <c r="M55" s="153"/>
      <c r="N55" s="158"/>
      <c r="O55" s="152" t="s">
        <v>348</v>
      </c>
      <c r="P55" s="159" t="str">
        <f>HYPERLINK("http://www.quantaqct.com/Product/Networking/Ethernet-Switches/T5000-Series/QuantaMesh-T5032-LY6-p41c77c75c158c206","http://www.quantaqct.com/Product/Networking/Ethernet-Switches/T5000-Series/QuantaMesh-T5032-LY6-p41c77c75c158c206")</f>
        <v>http://www.quantaqct.com/Product/Networking/Ethernet-Switches/T5000-Series/QuantaMesh-T5032-LY6-p41c77c75c158c206</v>
      </c>
      <c r="Q55" s="145"/>
      <c r="R55" s="145" t="s">
        <v>372</v>
      </c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</row>
    <row r="56" spans="1:29" ht="15.75" hidden="1" customHeight="1" x14ac:dyDescent="0.15">
      <c r="A56" s="145" t="s">
        <v>231</v>
      </c>
      <c r="B56" s="145" t="s">
        <v>345</v>
      </c>
      <c r="C56" s="146" t="s">
        <v>374</v>
      </c>
      <c r="D56" s="147">
        <f t="shared" si="0"/>
        <v>0</v>
      </c>
      <c r="E56" s="157">
        <v>0</v>
      </c>
      <c r="F56" s="149">
        <f t="shared" si="1"/>
        <v>597.30000000000007</v>
      </c>
      <c r="G56" s="175">
        <v>543</v>
      </c>
      <c r="H56" s="151"/>
      <c r="I56" s="145"/>
      <c r="J56" s="154"/>
      <c r="K56" s="145"/>
      <c r="L56" s="145"/>
      <c r="M56" s="145"/>
      <c r="N56" s="154"/>
      <c r="O56" s="154"/>
      <c r="P56" s="191" t="str">
        <f>HYPERLINK("http://www.supermicro.com/products/accessories/addon/AOC-CIBQ-m1.cfm","http://www.supermicro.com/products/accessories/addon/AOC-CIBQ-m1.cfm")</f>
        <v>http://www.supermicro.com/products/accessories/addon/AOC-CIBQ-m1.cfm</v>
      </c>
      <c r="Q56" s="145"/>
      <c r="R56" s="145" t="s">
        <v>375</v>
      </c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</row>
    <row r="57" spans="1:29" ht="15.75" hidden="1" customHeight="1" x14ac:dyDescent="0.15">
      <c r="A57" s="145" t="s">
        <v>231</v>
      </c>
      <c r="B57" s="145" t="s">
        <v>76</v>
      </c>
      <c r="C57" s="146" t="s">
        <v>376</v>
      </c>
      <c r="D57" s="147">
        <f t="shared" si="0"/>
        <v>0</v>
      </c>
      <c r="E57" s="157">
        <v>0</v>
      </c>
      <c r="F57" s="149">
        <f t="shared" si="1"/>
        <v>66</v>
      </c>
      <c r="G57" s="150">
        <v>60</v>
      </c>
      <c r="H57" s="151"/>
      <c r="I57" s="145"/>
      <c r="J57" s="152"/>
      <c r="K57" s="153"/>
      <c r="L57" s="153"/>
      <c r="M57" s="153"/>
      <c r="N57" s="154"/>
      <c r="O57" s="152"/>
      <c r="P57" s="145"/>
      <c r="Q57" s="145"/>
      <c r="R57" s="145" t="s">
        <v>377</v>
      </c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</row>
    <row r="58" spans="1:29" ht="15.75" hidden="1" customHeight="1" x14ac:dyDescent="0.15">
      <c r="A58" s="145" t="s">
        <v>231</v>
      </c>
      <c r="B58" s="145" t="s">
        <v>378</v>
      </c>
      <c r="C58" s="146" t="s">
        <v>379</v>
      </c>
      <c r="D58" s="147">
        <f t="shared" si="0"/>
        <v>0</v>
      </c>
      <c r="E58" s="157">
        <v>0</v>
      </c>
      <c r="F58" s="149">
        <f t="shared" si="1"/>
        <v>0</v>
      </c>
      <c r="G58" s="150">
        <v>0</v>
      </c>
      <c r="H58" s="151"/>
      <c r="I58" s="145"/>
      <c r="J58" s="152"/>
      <c r="K58" s="153"/>
      <c r="L58" s="153"/>
      <c r="M58" s="153"/>
      <c r="N58" s="154"/>
      <c r="O58" s="152"/>
      <c r="P58" s="145"/>
      <c r="Q58" s="145"/>
      <c r="R58" s="145" t="s">
        <v>380</v>
      </c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</row>
    <row r="59" spans="1:29" ht="15.75" hidden="1" customHeight="1" x14ac:dyDescent="0.15">
      <c r="A59" s="145" t="s">
        <v>231</v>
      </c>
      <c r="B59" s="145" t="s">
        <v>378</v>
      </c>
      <c r="C59" s="146" t="s">
        <v>379</v>
      </c>
      <c r="D59" s="147">
        <f t="shared" si="0"/>
        <v>0</v>
      </c>
      <c r="E59" s="157">
        <v>0</v>
      </c>
      <c r="F59" s="149">
        <f t="shared" si="1"/>
        <v>0</v>
      </c>
      <c r="G59" s="150">
        <v>0</v>
      </c>
      <c r="H59" s="151"/>
      <c r="I59" s="145"/>
      <c r="J59" s="152"/>
      <c r="K59" s="153"/>
      <c r="L59" s="153"/>
      <c r="M59" s="153"/>
      <c r="N59" s="154"/>
      <c r="O59" s="152"/>
      <c r="P59" s="145"/>
      <c r="Q59" s="145"/>
      <c r="R59" s="145" t="s">
        <v>381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</row>
    <row r="60" spans="1:29" ht="15.75" hidden="1" customHeight="1" x14ac:dyDescent="0.15">
      <c r="A60" s="145" t="s">
        <v>231</v>
      </c>
      <c r="B60" s="145" t="s">
        <v>378</v>
      </c>
      <c r="C60" s="146" t="s">
        <v>382</v>
      </c>
      <c r="D60" s="147">
        <f t="shared" si="0"/>
        <v>0</v>
      </c>
      <c r="E60" s="157">
        <v>0</v>
      </c>
      <c r="F60" s="149">
        <f t="shared" si="1"/>
        <v>0</v>
      </c>
      <c r="G60" s="150">
        <v>0</v>
      </c>
      <c r="H60" s="151"/>
      <c r="I60" s="145"/>
      <c r="J60" s="152"/>
      <c r="K60" s="153"/>
      <c r="L60" s="153"/>
      <c r="M60" s="153"/>
      <c r="N60" s="154"/>
      <c r="O60" s="152"/>
      <c r="P60" s="145"/>
      <c r="Q60" s="145"/>
      <c r="R60" s="145" t="s">
        <v>383</v>
      </c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</row>
    <row r="61" spans="1:29" ht="15.75" hidden="1" customHeight="1" x14ac:dyDescent="0.15">
      <c r="A61" s="145" t="s">
        <v>231</v>
      </c>
      <c r="B61" s="145" t="s">
        <v>378</v>
      </c>
      <c r="C61" s="146" t="s">
        <v>384</v>
      </c>
      <c r="D61" s="147">
        <f t="shared" si="0"/>
        <v>0</v>
      </c>
      <c r="E61" s="157">
        <v>0</v>
      </c>
      <c r="F61" s="149">
        <f t="shared" si="1"/>
        <v>0</v>
      </c>
      <c r="G61" s="150">
        <v>0</v>
      </c>
      <c r="H61" s="151"/>
      <c r="I61" s="145"/>
      <c r="J61" s="152"/>
      <c r="K61" s="153"/>
      <c r="L61" s="153"/>
      <c r="M61" s="153"/>
      <c r="N61" s="154"/>
      <c r="O61" s="152"/>
      <c r="P61" s="145"/>
      <c r="Q61" s="145"/>
      <c r="R61" s="145" t="s">
        <v>385</v>
      </c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</row>
    <row r="62" spans="1:29" ht="15.75" customHeight="1" x14ac:dyDescent="0.15">
      <c r="A62" s="209" t="s">
        <v>386</v>
      </c>
      <c r="B62" s="209" t="s">
        <v>232</v>
      </c>
      <c r="C62" s="209" t="s">
        <v>387</v>
      </c>
      <c r="D62" s="210">
        <f t="shared" ref="D62:D100" si="4">E62*1.05</f>
        <v>1307.25</v>
      </c>
      <c r="E62" s="211">
        <v>1245</v>
      </c>
      <c r="F62" s="212">
        <f t="shared" ref="F62:F100" si="5">G62*1.05</f>
        <v>1144.5</v>
      </c>
      <c r="G62" s="213">
        <v>1090</v>
      </c>
      <c r="H62" s="214">
        <v>1</v>
      </c>
      <c r="I62" s="215">
        <v>300</v>
      </c>
      <c r="J62" s="216"/>
      <c r="K62" s="216"/>
      <c r="L62" s="216"/>
      <c r="M62" s="216"/>
      <c r="N62" s="217"/>
      <c r="O62" s="216">
        <v>2</v>
      </c>
      <c r="P62" s="218" t="str">
        <f>HYPERLINK("http://en.gooxi.com/product/2014/0627/40.html","http://en.gooxi.com/product/2014/0627/40.html")</f>
        <v>http://en.gooxi.com/product/2014/0627/40.html</v>
      </c>
      <c r="Q62" s="164"/>
      <c r="R62" s="164" t="s">
        <v>388</v>
      </c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</row>
    <row r="63" spans="1:29" ht="15.75" customHeight="1" x14ac:dyDescent="0.15">
      <c r="A63" s="209" t="s">
        <v>389</v>
      </c>
      <c r="B63" s="209" t="s">
        <v>232</v>
      </c>
      <c r="C63" s="209" t="s">
        <v>390</v>
      </c>
      <c r="D63" s="210">
        <f t="shared" si="4"/>
        <v>5250</v>
      </c>
      <c r="E63" s="210">
        <v>5000</v>
      </c>
      <c r="F63" s="212">
        <f t="shared" si="5"/>
        <v>5848.5</v>
      </c>
      <c r="G63" s="219">
        <v>5570</v>
      </c>
      <c r="H63" s="214">
        <v>4</v>
      </c>
      <c r="I63" s="215">
        <v>100</v>
      </c>
      <c r="J63" s="220"/>
      <c r="K63" s="220"/>
      <c r="L63" s="220"/>
      <c r="M63" s="220"/>
      <c r="N63" s="217"/>
      <c r="O63" s="220">
        <v>4</v>
      </c>
      <c r="P63" s="218" t="s">
        <v>391</v>
      </c>
      <c r="Q63" s="164" t="s">
        <v>392</v>
      </c>
      <c r="R63" s="164" t="s">
        <v>393</v>
      </c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</row>
    <row r="64" spans="1:29" ht="15.75" customHeight="1" x14ac:dyDescent="0.15">
      <c r="A64" s="209" t="s">
        <v>66</v>
      </c>
      <c r="B64" s="209" t="s">
        <v>232</v>
      </c>
      <c r="C64" s="209" t="s">
        <v>394</v>
      </c>
      <c r="D64" s="210">
        <f t="shared" si="4"/>
        <v>2625</v>
      </c>
      <c r="E64" s="211">
        <v>2500</v>
      </c>
      <c r="F64" s="212">
        <f t="shared" si="5"/>
        <v>3393.3900000000003</v>
      </c>
      <c r="G64" s="219">
        <f>2938*1.1</f>
        <v>3231.8</v>
      </c>
      <c r="H64" s="214">
        <v>2</v>
      </c>
      <c r="I64" s="222">
        <v>444</v>
      </c>
      <c r="J64" s="220"/>
      <c r="K64" s="220"/>
      <c r="L64" s="220"/>
      <c r="M64" s="220"/>
      <c r="N64" s="217"/>
      <c r="O64" s="220">
        <v>2</v>
      </c>
      <c r="P64" s="218" t="str">
        <f>HYPERLINK("https://www.supermicro.nl/products/system/2U/2028/SYS-2028TR-HTR.cfm","https://www.supermicro.nl/products/system/2U/2028/SYS-2028TR-HTR.cfm")</f>
        <v>https://www.supermicro.nl/products/system/2U/2028/SYS-2028TR-HTR.cfm</v>
      </c>
      <c r="Q64" s="164"/>
      <c r="R64" s="164" t="s">
        <v>395</v>
      </c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</row>
    <row r="65" spans="1:29" ht="15.75" customHeight="1" x14ac:dyDescent="0.15">
      <c r="A65" s="209" t="s">
        <v>396</v>
      </c>
      <c r="B65" s="209" t="s">
        <v>232</v>
      </c>
      <c r="C65" s="209" t="s">
        <v>397</v>
      </c>
      <c r="D65" s="210">
        <f t="shared" si="4"/>
        <v>1261.7220000000002</v>
      </c>
      <c r="E65" s="211">
        <v>1201.6400000000001</v>
      </c>
      <c r="F65" s="212">
        <f t="shared" si="5"/>
        <v>1376.55</v>
      </c>
      <c r="G65" s="219">
        <v>1311</v>
      </c>
      <c r="H65" s="214">
        <v>1</v>
      </c>
      <c r="I65" s="215">
        <v>50</v>
      </c>
      <c r="J65" s="220"/>
      <c r="K65" s="220"/>
      <c r="L65" s="220"/>
      <c r="M65" s="220"/>
      <c r="N65" s="217"/>
      <c r="O65" s="220">
        <v>2</v>
      </c>
      <c r="P65" s="218" t="str">
        <f>HYPERLINK("http://www.supermicro.nl/products/system/1U/1028/SYS-1028R-WTNR.cfm","http://www.supermicro.nl/products/system/1U/1028/SYS-1028R-WTNR.cfm")</f>
        <v>http://www.supermicro.nl/products/system/1U/1028/SYS-1028R-WTNR.cfm</v>
      </c>
      <c r="Q65" s="164"/>
      <c r="R65" s="164" t="s">
        <v>398</v>
      </c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</row>
    <row r="66" spans="1:29" ht="15.75" customHeight="1" x14ac:dyDescent="0.15">
      <c r="A66" s="209" t="s">
        <v>67</v>
      </c>
      <c r="B66" s="209" t="s">
        <v>232</v>
      </c>
      <c r="C66" s="209" t="s">
        <v>399</v>
      </c>
      <c r="D66" s="210">
        <f t="shared" si="4"/>
        <v>1265.7855</v>
      </c>
      <c r="E66" s="211">
        <v>1205.51</v>
      </c>
      <c r="F66" s="212">
        <f t="shared" si="5"/>
        <v>1376.55</v>
      </c>
      <c r="G66" s="219">
        <v>1311</v>
      </c>
      <c r="H66" s="214">
        <v>1</v>
      </c>
      <c r="I66" s="215">
        <v>50</v>
      </c>
      <c r="J66" s="220"/>
      <c r="K66" s="220"/>
      <c r="L66" s="220"/>
      <c r="M66" s="220"/>
      <c r="N66" s="217"/>
      <c r="O66" s="220">
        <v>2</v>
      </c>
      <c r="P66" s="218" t="str">
        <f>HYPERLINK("http://www.supermicro.nl/products/system/1U/1028/SYS-1028R-WTR.cfm","http://www.supermicro.nl/products/system/1U/1028/SYS-1028R-WTR.cfm")</f>
        <v>http://www.supermicro.nl/products/system/1U/1028/SYS-1028R-WTR.cfm</v>
      </c>
      <c r="Q66" s="164"/>
      <c r="R66" s="164" t="s">
        <v>400</v>
      </c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</row>
    <row r="67" spans="1:29" ht="15.75" customHeight="1" x14ac:dyDescent="0.15">
      <c r="A67" s="209" t="s">
        <v>401</v>
      </c>
      <c r="B67" s="164" t="s">
        <v>232</v>
      </c>
      <c r="C67" s="209" t="s">
        <v>402</v>
      </c>
      <c r="D67" s="210">
        <f t="shared" si="4"/>
        <v>2795.1</v>
      </c>
      <c r="E67" s="210">
        <v>2662</v>
      </c>
      <c r="F67" s="212">
        <f t="shared" si="5"/>
        <v>3288.3529411764712</v>
      </c>
      <c r="G67" s="219">
        <f t="shared" ref="G67:G68" si="6">E67/0.85</f>
        <v>3131.7647058823532</v>
      </c>
      <c r="H67" s="214">
        <v>4</v>
      </c>
      <c r="I67" s="215">
        <v>100</v>
      </c>
      <c r="J67" s="220"/>
      <c r="K67" s="220"/>
      <c r="L67" s="220"/>
      <c r="M67" s="164"/>
      <c r="N67" s="223"/>
      <c r="O67" s="224">
        <v>1</v>
      </c>
      <c r="P67" s="218" t="s">
        <v>403</v>
      </c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</row>
    <row r="68" spans="1:29" ht="15.75" customHeight="1" x14ac:dyDescent="0.15">
      <c r="A68" s="209" t="s">
        <v>404</v>
      </c>
      <c r="B68" s="164" t="s">
        <v>232</v>
      </c>
      <c r="C68" s="209" t="s">
        <v>405</v>
      </c>
      <c r="D68" s="210">
        <f t="shared" si="4"/>
        <v>1438.5</v>
      </c>
      <c r="E68" s="210">
        <v>1370</v>
      </c>
      <c r="F68" s="212">
        <f t="shared" si="5"/>
        <v>1692.3529411764707</v>
      </c>
      <c r="G68" s="219">
        <f t="shared" si="6"/>
        <v>1611.7647058823529</v>
      </c>
      <c r="H68" s="214">
        <v>1</v>
      </c>
      <c r="I68" s="222">
        <v>81</v>
      </c>
      <c r="J68" s="220"/>
      <c r="K68" s="220"/>
      <c r="L68" s="220"/>
      <c r="M68" s="164"/>
      <c r="N68" s="223"/>
      <c r="O68" s="224">
        <v>1</v>
      </c>
      <c r="P68" s="218" t="s">
        <v>406</v>
      </c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</row>
    <row r="69" spans="1:29" ht="15.75" customHeight="1" x14ac:dyDescent="0.15">
      <c r="A69" s="225" t="s">
        <v>407</v>
      </c>
      <c r="B69" s="226" t="s">
        <v>232</v>
      </c>
      <c r="C69" s="225" t="s">
        <v>408</v>
      </c>
      <c r="D69" s="210">
        <f t="shared" si="4"/>
        <v>3927</v>
      </c>
      <c r="E69" s="211">
        <f t="shared" ref="E69:E72" si="7">G69*0.85</f>
        <v>3740</v>
      </c>
      <c r="F69" s="212">
        <f t="shared" si="5"/>
        <v>4620</v>
      </c>
      <c r="G69" s="227">
        <v>4400</v>
      </c>
      <c r="H69" s="228">
        <v>2</v>
      </c>
      <c r="I69" s="222">
        <v>200</v>
      </c>
      <c r="J69" s="220"/>
      <c r="K69" s="220"/>
      <c r="L69" s="220"/>
      <c r="M69" s="229"/>
      <c r="N69" s="230"/>
      <c r="O69" s="224">
        <v>4</v>
      </c>
      <c r="P69" s="231" t="s">
        <v>409</v>
      </c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</row>
    <row r="70" spans="1:29" ht="15.75" customHeight="1" x14ac:dyDescent="0.15">
      <c r="A70" s="225" t="s">
        <v>410</v>
      </c>
      <c r="B70" s="226" t="s">
        <v>232</v>
      </c>
      <c r="C70" s="225" t="s">
        <v>411</v>
      </c>
      <c r="D70" s="210">
        <f t="shared" si="4"/>
        <v>3570</v>
      </c>
      <c r="E70" s="211">
        <f t="shared" si="7"/>
        <v>3400</v>
      </c>
      <c r="F70" s="212">
        <f t="shared" si="5"/>
        <v>4200</v>
      </c>
      <c r="G70" s="227">
        <v>4000</v>
      </c>
      <c r="H70" s="228">
        <v>2</v>
      </c>
      <c r="I70" s="222">
        <v>525</v>
      </c>
      <c r="J70" s="220"/>
      <c r="K70" s="220"/>
      <c r="L70" s="220"/>
      <c r="M70" s="229"/>
      <c r="N70" s="230"/>
      <c r="O70" s="224">
        <v>1</v>
      </c>
      <c r="P70" s="231" t="s">
        <v>412</v>
      </c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</row>
    <row r="71" spans="1:29" ht="15.75" customHeight="1" x14ac:dyDescent="0.15">
      <c r="A71" s="225" t="s">
        <v>413</v>
      </c>
      <c r="B71" s="226" t="s">
        <v>232</v>
      </c>
      <c r="C71" s="225" t="s">
        <v>414</v>
      </c>
      <c r="D71" s="210">
        <f t="shared" si="4"/>
        <v>1338.75</v>
      </c>
      <c r="E71" s="211">
        <f t="shared" si="7"/>
        <v>1275</v>
      </c>
      <c r="F71" s="212">
        <f t="shared" si="5"/>
        <v>1575</v>
      </c>
      <c r="G71" s="227">
        <v>1500</v>
      </c>
      <c r="H71" s="228">
        <v>1</v>
      </c>
      <c r="I71" s="222">
        <v>100</v>
      </c>
      <c r="J71" s="220"/>
      <c r="K71" s="220"/>
      <c r="L71" s="220"/>
      <c r="M71" s="229"/>
      <c r="N71" s="230"/>
      <c r="O71" s="224">
        <v>1</v>
      </c>
      <c r="P71" s="231" t="s">
        <v>415</v>
      </c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</row>
    <row r="72" spans="1:29" ht="15.75" customHeight="1" x14ac:dyDescent="0.15">
      <c r="A72" s="225" t="s">
        <v>68</v>
      </c>
      <c r="B72" s="226" t="s">
        <v>232</v>
      </c>
      <c r="C72" s="225" t="s">
        <v>416</v>
      </c>
      <c r="D72" s="210">
        <f t="shared" si="4"/>
        <v>3927</v>
      </c>
      <c r="E72" s="211">
        <f t="shared" si="7"/>
        <v>3740</v>
      </c>
      <c r="F72" s="212">
        <f t="shared" si="5"/>
        <v>4620</v>
      </c>
      <c r="G72" s="227">
        <v>4400</v>
      </c>
      <c r="H72" s="228">
        <v>2</v>
      </c>
      <c r="I72" s="222">
        <v>200</v>
      </c>
      <c r="J72" s="220"/>
      <c r="K72" s="220"/>
      <c r="L72" s="220"/>
      <c r="M72" s="229"/>
      <c r="N72" s="230"/>
      <c r="O72" s="224">
        <v>4</v>
      </c>
      <c r="P72" s="231" t="s">
        <v>417</v>
      </c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</row>
    <row r="73" spans="1:29" ht="15.75" customHeight="1" x14ac:dyDescent="0.15">
      <c r="A73" s="209" t="s">
        <v>283</v>
      </c>
      <c r="B73" s="164" t="s">
        <v>282</v>
      </c>
      <c r="C73" s="209" t="s">
        <v>418</v>
      </c>
      <c r="D73" s="210">
        <f t="shared" si="4"/>
        <v>210</v>
      </c>
      <c r="E73" s="210">
        <v>200</v>
      </c>
      <c r="F73" s="212">
        <f t="shared" si="5"/>
        <v>210</v>
      </c>
      <c r="G73" s="219">
        <f>VLOOKUP($A73,CPU!$B:$P,3,FALSE)</f>
        <v>200</v>
      </c>
      <c r="H73" s="232"/>
      <c r="I73" s="215">
        <f>VLOOKUP($A73,CPU!$B:$P,13,FALSE)*0.7</f>
        <v>56</v>
      </c>
      <c r="J73" s="220"/>
      <c r="K73" s="220"/>
      <c r="L73" s="220"/>
      <c r="M73" s="229">
        <f>VLOOKUP($A73,CPU!$B:$P,5,FALSE)</f>
        <v>4</v>
      </c>
      <c r="N73" s="230">
        <f>VLOOKUP($A73,CPU!$B:$P,14,FALSE)</f>
        <v>6500</v>
      </c>
      <c r="O73" s="220"/>
      <c r="P73" s="164"/>
      <c r="Q73" s="164"/>
      <c r="R73" s="164" t="s">
        <v>419</v>
      </c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</row>
    <row r="74" spans="1:29" ht="15.75" customHeight="1" x14ac:dyDescent="0.15">
      <c r="A74" s="209" t="s">
        <v>267</v>
      </c>
      <c r="B74" s="164" t="s">
        <v>282</v>
      </c>
      <c r="C74" s="209" t="s">
        <v>420</v>
      </c>
      <c r="D74" s="210">
        <f t="shared" si="4"/>
        <v>748.65</v>
      </c>
      <c r="E74" s="210">
        <v>713</v>
      </c>
      <c r="F74" s="212">
        <f t="shared" si="5"/>
        <v>703.5</v>
      </c>
      <c r="G74" s="219">
        <f>VLOOKUP($A74,CPU!$B:$P,3,FALSE)</f>
        <v>670</v>
      </c>
      <c r="H74" s="232"/>
      <c r="I74" s="215">
        <f>VLOOKUP($A74,CPU!$B:$P,13,FALSE)*0.7</f>
        <v>59.499999999999993</v>
      </c>
      <c r="J74" s="220"/>
      <c r="K74" s="220"/>
      <c r="L74" s="220"/>
      <c r="M74" s="233">
        <f>VLOOKUP($A74,CPU!$B:$P,5,FALSE)</f>
        <v>20</v>
      </c>
      <c r="N74" s="230">
        <f>VLOOKUP($A74,CPU!$B:$P,14,FALSE)</f>
        <v>14900</v>
      </c>
      <c r="O74" s="220"/>
      <c r="P74" s="234"/>
      <c r="Q74" s="164"/>
      <c r="R74" s="164" t="s">
        <v>421</v>
      </c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</row>
    <row r="75" spans="1:29" ht="15.75" customHeight="1" x14ac:dyDescent="0.15">
      <c r="A75" s="209" t="s">
        <v>83</v>
      </c>
      <c r="B75" s="164" t="s">
        <v>282</v>
      </c>
      <c r="C75" s="209" t="s">
        <v>422</v>
      </c>
      <c r="D75" s="210">
        <f t="shared" si="4"/>
        <v>1344</v>
      </c>
      <c r="E75" s="210">
        <v>1280</v>
      </c>
      <c r="F75" s="212">
        <f t="shared" si="5"/>
        <v>1621.2</v>
      </c>
      <c r="G75" s="219">
        <v>1544</v>
      </c>
      <c r="H75" s="232"/>
      <c r="I75" s="215">
        <f>VLOOKUP($A75,CPU!$B:$P,13,FALSE)*0.7</f>
        <v>73.5</v>
      </c>
      <c r="J75" s="220"/>
      <c r="K75" s="220"/>
      <c r="L75" s="220"/>
      <c r="M75" s="233">
        <v>28</v>
      </c>
      <c r="N75" s="230">
        <f>VLOOKUP($A75,CPU!$B:$P,14,FALSE)</f>
        <v>19303.2</v>
      </c>
      <c r="O75" s="220"/>
      <c r="P75" s="164"/>
      <c r="Q75" s="164"/>
      <c r="R75" s="164" t="s">
        <v>423</v>
      </c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</row>
    <row r="76" spans="1:29" ht="15.75" customHeight="1" x14ac:dyDescent="0.15">
      <c r="A76" s="209" t="s">
        <v>262</v>
      </c>
      <c r="B76" s="164" t="s">
        <v>282</v>
      </c>
      <c r="C76" s="209" t="s">
        <v>424</v>
      </c>
      <c r="D76" s="210">
        <f t="shared" si="4"/>
        <v>425.48100000000005</v>
      </c>
      <c r="E76" s="210">
        <v>405.22</v>
      </c>
      <c r="F76" s="212">
        <f t="shared" si="5"/>
        <v>451.5</v>
      </c>
      <c r="G76" s="219">
        <f>VLOOKUP($A76,CPU!$B:$P,3,FALSE)</f>
        <v>430</v>
      </c>
      <c r="H76" s="232"/>
      <c r="I76" s="215">
        <f>VLOOKUP($A76,CPU!$B:$P,13,FALSE)*0.7</f>
        <v>59.499999999999993</v>
      </c>
      <c r="J76" s="220"/>
      <c r="K76" s="220"/>
      <c r="L76" s="220"/>
      <c r="M76" s="233">
        <f>VLOOKUP($A76,CPU!$B:$P,5,FALSE)</f>
        <v>12</v>
      </c>
      <c r="N76" s="230">
        <f>VLOOKUP($A76,CPU!$B:$P,14,FALSE)</f>
        <v>11000</v>
      </c>
      <c r="O76" s="220"/>
      <c r="P76" s="164"/>
      <c r="Q76" s="164"/>
      <c r="R76" s="164" t="s">
        <v>425</v>
      </c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</row>
    <row r="77" spans="1:29" ht="15.75" customHeight="1" x14ac:dyDescent="0.15">
      <c r="A77" s="209" t="s">
        <v>275</v>
      </c>
      <c r="B77" s="164" t="s">
        <v>282</v>
      </c>
      <c r="C77" s="209" t="s">
        <v>426</v>
      </c>
      <c r="D77" s="210">
        <f t="shared" si="4"/>
        <v>0</v>
      </c>
      <c r="E77" s="211">
        <v>0</v>
      </c>
      <c r="F77" s="212">
        <f t="shared" si="5"/>
        <v>2296.1400000000003</v>
      </c>
      <c r="G77" s="219">
        <f>VLOOKUP($A77,CPU!$B:$P,3,FALSE)</f>
        <v>2186.8000000000002</v>
      </c>
      <c r="H77" s="232"/>
      <c r="I77" s="215">
        <f>VLOOKUP($A77,CPU!$B:$P,13,FALSE)*0.7</f>
        <v>84</v>
      </c>
      <c r="J77" s="220"/>
      <c r="K77" s="220"/>
      <c r="L77" s="220"/>
      <c r="M77" s="235">
        <f>VLOOKUP($A77,CPU!$B:$P,5,FALSE)</f>
        <v>28</v>
      </c>
      <c r="N77" s="230">
        <f>VLOOKUP($A77,CPU!$B:$P,14,FALSE)</f>
        <v>21448</v>
      </c>
      <c r="O77" s="220"/>
      <c r="P77" s="164"/>
      <c r="Q77" s="164"/>
      <c r="R77" s="164" t="s">
        <v>427</v>
      </c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</row>
    <row r="78" spans="1:29" ht="15.75" customHeight="1" x14ac:dyDescent="0.15">
      <c r="A78" s="225" t="s">
        <v>428</v>
      </c>
      <c r="B78" s="225" t="s">
        <v>282</v>
      </c>
      <c r="C78" s="225" t="s">
        <v>429</v>
      </c>
      <c r="D78" s="210">
        <f t="shared" si="4"/>
        <v>1428</v>
      </c>
      <c r="E78" s="210">
        <f t="shared" ref="E78:E82" si="8">G78*0.85</f>
        <v>1360</v>
      </c>
      <c r="F78" s="212">
        <f t="shared" si="5"/>
        <v>1680</v>
      </c>
      <c r="G78" s="227">
        <v>1600</v>
      </c>
      <c r="H78" s="232"/>
      <c r="I78" s="222">
        <v>105</v>
      </c>
      <c r="J78" s="220"/>
      <c r="K78" s="220"/>
      <c r="L78" s="220"/>
      <c r="M78" s="236">
        <v>28</v>
      </c>
      <c r="N78" s="230">
        <v>16308</v>
      </c>
      <c r="O78" s="220"/>
      <c r="P78" s="231" t="s">
        <v>430</v>
      </c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</row>
    <row r="79" spans="1:29" ht="15.75" customHeight="1" x14ac:dyDescent="0.15">
      <c r="A79" s="225" t="s">
        <v>431</v>
      </c>
      <c r="B79" s="225" t="s">
        <v>282</v>
      </c>
      <c r="C79" s="225" t="s">
        <v>432</v>
      </c>
      <c r="D79" s="210">
        <f t="shared" si="4"/>
        <v>678.30000000000007</v>
      </c>
      <c r="E79" s="210">
        <f t="shared" si="8"/>
        <v>646</v>
      </c>
      <c r="F79" s="212">
        <f t="shared" si="5"/>
        <v>798</v>
      </c>
      <c r="G79" s="227">
        <v>760</v>
      </c>
      <c r="H79" s="232"/>
      <c r="I79" s="222">
        <v>85</v>
      </c>
      <c r="J79" s="220"/>
      <c r="K79" s="220"/>
      <c r="L79" s="220"/>
      <c r="M79" s="236">
        <v>20</v>
      </c>
      <c r="N79" s="237"/>
      <c r="O79" s="220"/>
      <c r="P79" s="231" t="s">
        <v>433</v>
      </c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</row>
    <row r="80" spans="1:29" ht="15.75" customHeight="1" x14ac:dyDescent="0.15">
      <c r="A80" s="225" t="s">
        <v>434</v>
      </c>
      <c r="B80" s="225" t="s">
        <v>282</v>
      </c>
      <c r="C80" s="225" t="s">
        <v>435</v>
      </c>
      <c r="D80" s="210">
        <f t="shared" si="4"/>
        <v>176.715</v>
      </c>
      <c r="E80" s="210">
        <f t="shared" si="8"/>
        <v>168.29999999999998</v>
      </c>
      <c r="F80" s="212">
        <f t="shared" si="5"/>
        <v>207.9</v>
      </c>
      <c r="G80" s="227">
        <v>198</v>
      </c>
      <c r="H80" s="232"/>
      <c r="I80" s="222">
        <v>71</v>
      </c>
      <c r="J80" s="220"/>
      <c r="K80" s="220"/>
      <c r="L80" s="220"/>
      <c r="M80" s="236">
        <v>8</v>
      </c>
      <c r="N80" s="237"/>
      <c r="O80" s="220"/>
      <c r="P80" s="231" t="s">
        <v>436</v>
      </c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</row>
    <row r="81" spans="1:29" ht="15.75" customHeight="1" x14ac:dyDescent="0.15">
      <c r="A81" s="225" t="s">
        <v>84</v>
      </c>
      <c r="B81" s="225" t="s">
        <v>282</v>
      </c>
      <c r="C81" s="225" t="s">
        <v>437</v>
      </c>
      <c r="D81" s="210">
        <f t="shared" si="4"/>
        <v>1428</v>
      </c>
      <c r="E81" s="210">
        <f t="shared" si="8"/>
        <v>1360</v>
      </c>
      <c r="F81" s="212">
        <f t="shared" si="5"/>
        <v>1680</v>
      </c>
      <c r="G81" s="227">
        <v>1600</v>
      </c>
      <c r="H81" s="232"/>
      <c r="I81" s="222">
        <v>105</v>
      </c>
      <c r="J81" s="220"/>
      <c r="K81" s="220"/>
      <c r="L81" s="220"/>
      <c r="M81" s="236">
        <v>36</v>
      </c>
      <c r="N81" s="237"/>
      <c r="O81" s="220"/>
      <c r="P81" s="238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</row>
    <row r="82" spans="1:29" ht="15.75" customHeight="1" x14ac:dyDescent="0.15">
      <c r="A82" s="225" t="s">
        <v>438</v>
      </c>
      <c r="B82" s="225" t="s">
        <v>439</v>
      </c>
      <c r="C82" s="225" t="s">
        <v>440</v>
      </c>
      <c r="D82" s="210">
        <f t="shared" si="4"/>
        <v>633.67500000000007</v>
      </c>
      <c r="E82" s="210">
        <f t="shared" si="8"/>
        <v>603.5</v>
      </c>
      <c r="F82" s="212">
        <f t="shared" si="5"/>
        <v>745.5</v>
      </c>
      <c r="G82" s="227">
        <v>710</v>
      </c>
      <c r="H82" s="232"/>
      <c r="I82" s="222">
        <v>85</v>
      </c>
      <c r="J82" s="220"/>
      <c r="K82" s="220"/>
      <c r="L82" s="220"/>
      <c r="M82" s="236">
        <v>24</v>
      </c>
      <c r="N82" s="237"/>
      <c r="O82" s="220"/>
      <c r="P82" s="238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</row>
    <row r="83" spans="1:29" ht="15.75" customHeight="1" x14ac:dyDescent="0.15">
      <c r="A83" s="209" t="s">
        <v>441</v>
      </c>
      <c r="B83" s="209" t="s">
        <v>4</v>
      </c>
      <c r="C83" s="209" t="s">
        <v>442</v>
      </c>
      <c r="D83" s="210">
        <f t="shared" si="4"/>
        <v>84.672000000000011</v>
      </c>
      <c r="E83" s="211">
        <v>80.64</v>
      </c>
      <c r="F83" s="212">
        <f t="shared" si="5"/>
        <v>98.175000000000026</v>
      </c>
      <c r="G83" s="219">
        <f>85*1.1</f>
        <v>93.500000000000014</v>
      </c>
      <c r="H83" s="232"/>
      <c r="I83" s="215">
        <v>6</v>
      </c>
      <c r="J83" s="220"/>
      <c r="K83" s="220"/>
      <c r="L83" s="220">
        <v>16</v>
      </c>
      <c r="M83" s="220"/>
      <c r="N83" s="237"/>
      <c r="O83" s="220"/>
      <c r="P83" s="238" t="str">
        <f>HYPERLINK("http://www.newegg.com/Product/Product.aspx?Item=N82E16820147382","http://www.newegg.com/Product/Product.aspx?Item=N82E16820147382")</f>
        <v>http://www.newegg.com/Product/Product.aspx?Item=N82E16820147382</v>
      </c>
      <c r="Q83" s="164"/>
      <c r="R83" s="164" t="s">
        <v>443</v>
      </c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</row>
    <row r="84" spans="1:29" ht="15.75" customHeight="1" x14ac:dyDescent="0.15">
      <c r="A84" s="209" t="s">
        <v>444</v>
      </c>
      <c r="B84" s="209" t="s">
        <v>4</v>
      </c>
      <c r="C84" s="209" t="s">
        <v>445</v>
      </c>
      <c r="D84" s="210">
        <f t="shared" si="4"/>
        <v>78.75</v>
      </c>
      <c r="E84" s="211">
        <v>75</v>
      </c>
      <c r="F84" s="212">
        <f t="shared" si="5"/>
        <v>94.5</v>
      </c>
      <c r="G84" s="219">
        <v>90</v>
      </c>
      <c r="H84" s="232"/>
      <c r="I84" s="215">
        <v>6</v>
      </c>
      <c r="J84" s="220"/>
      <c r="K84" s="220"/>
      <c r="L84" s="220">
        <v>8</v>
      </c>
      <c r="M84" s="220"/>
      <c r="N84" s="237"/>
      <c r="O84" s="220"/>
      <c r="P84" s="238" t="str">
        <f>HYPERLINK("http://www.amazon.com/Samsung-Memory-DDR4-Registered-M393A1G40DB0-CPB/dp/B00MDZN3RC","http://www.amazon.com/Samsung-Memory-DDR4-Registered-M393A1G40DB0-CPB/dp/B00MDZN3RC")</f>
        <v>http://www.amazon.com/Samsung-Memory-DDR4-Registered-M393A1G40DB0-CPB/dp/B00MDZN3RC</v>
      </c>
      <c r="Q84" s="164" t="s">
        <v>446</v>
      </c>
      <c r="R84" s="164" t="s">
        <v>447</v>
      </c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</row>
    <row r="85" spans="1:29" ht="15.75" customHeight="1" x14ac:dyDescent="0.15">
      <c r="A85" s="209" t="s">
        <v>107</v>
      </c>
      <c r="B85" s="209" t="s">
        <v>4</v>
      </c>
      <c r="C85" s="209" t="s">
        <v>448</v>
      </c>
      <c r="D85" s="210">
        <f t="shared" si="4"/>
        <v>384.3</v>
      </c>
      <c r="E85" s="211">
        <v>366</v>
      </c>
      <c r="F85" s="212">
        <f t="shared" si="5"/>
        <v>343.03500000000008</v>
      </c>
      <c r="G85" s="219">
        <f>297*1.1</f>
        <v>326.70000000000005</v>
      </c>
      <c r="H85" s="232"/>
      <c r="I85" s="215">
        <v>7</v>
      </c>
      <c r="J85" s="220"/>
      <c r="K85" s="220"/>
      <c r="L85" s="220">
        <v>32</v>
      </c>
      <c r="M85" s="220"/>
      <c r="N85" s="237"/>
      <c r="O85" s="220"/>
      <c r="P85" s="239" t="s">
        <v>449</v>
      </c>
      <c r="Q85" s="164"/>
      <c r="R85" s="164" t="s">
        <v>450</v>
      </c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</row>
    <row r="86" spans="1:29" ht="15.75" customHeight="1" x14ac:dyDescent="0.15">
      <c r="A86" s="209" t="s">
        <v>451</v>
      </c>
      <c r="B86" s="209" t="s">
        <v>4</v>
      </c>
      <c r="C86" s="209" t="s">
        <v>452</v>
      </c>
      <c r="D86" s="210">
        <f t="shared" si="4"/>
        <v>0</v>
      </c>
      <c r="E86" s="211">
        <v>0</v>
      </c>
      <c r="F86" s="212">
        <f t="shared" si="5"/>
        <v>57.75</v>
      </c>
      <c r="G86" s="219">
        <v>55</v>
      </c>
      <c r="H86" s="232"/>
      <c r="I86" s="215">
        <v>6</v>
      </c>
      <c r="J86" s="220"/>
      <c r="K86" s="220"/>
      <c r="L86" s="220">
        <v>8</v>
      </c>
      <c r="M86" s="220"/>
      <c r="N86" s="237"/>
      <c r="O86" s="220"/>
      <c r="P86" s="238" t="str">
        <f>HYPERLINK("http://www.amazon.com/Samsung-Memory-DDR4-Registered-M393A1G40DB0-CPB/dp/B00MDZN3RC","http://www.amazon.com/Samsung-Memory-DDR4-Registered-M393A1G40DB0-CPB/dp/B00MDZN3RC")</f>
        <v>http://www.amazon.com/Samsung-Memory-DDR4-Registered-M393A1G40DB0-CPB/dp/B00MDZN3RC</v>
      </c>
      <c r="Q86" s="164" t="s">
        <v>446</v>
      </c>
      <c r="R86" s="164" t="s">
        <v>453</v>
      </c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</row>
    <row r="87" spans="1:29" ht="15.75" customHeight="1" x14ac:dyDescent="0.15">
      <c r="A87" s="209" t="s">
        <v>108</v>
      </c>
      <c r="B87" s="209" t="s">
        <v>4</v>
      </c>
      <c r="C87" s="209" t="s">
        <v>454</v>
      </c>
      <c r="D87" s="210">
        <f t="shared" si="4"/>
        <v>624.75</v>
      </c>
      <c r="E87" s="211">
        <v>595</v>
      </c>
      <c r="F87" s="212">
        <f t="shared" si="5"/>
        <v>714</v>
      </c>
      <c r="G87" s="219">
        <v>680</v>
      </c>
      <c r="H87" s="232"/>
      <c r="I87" s="215">
        <v>15</v>
      </c>
      <c r="J87" s="220"/>
      <c r="K87" s="220"/>
      <c r="L87" s="220">
        <v>64</v>
      </c>
      <c r="M87" s="220"/>
      <c r="N87" s="237"/>
      <c r="O87" s="220"/>
      <c r="P87" s="239"/>
      <c r="Q87" s="164"/>
      <c r="R87" s="164" t="s">
        <v>455</v>
      </c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</row>
    <row r="88" spans="1:29" ht="15.75" customHeight="1" x14ac:dyDescent="0.15">
      <c r="A88" s="225" t="s">
        <v>456</v>
      </c>
      <c r="B88" s="226" t="s">
        <v>4</v>
      </c>
      <c r="C88" s="225" t="s">
        <v>457</v>
      </c>
      <c r="D88" s="210">
        <f t="shared" si="4"/>
        <v>199.0275</v>
      </c>
      <c r="E88" s="211">
        <f t="shared" ref="E88:E91" si="9">G88*0.85</f>
        <v>189.54999999999998</v>
      </c>
      <c r="F88" s="212">
        <f t="shared" si="5"/>
        <v>234.15</v>
      </c>
      <c r="G88" s="227">
        <v>223</v>
      </c>
      <c r="H88" s="232"/>
      <c r="I88" s="222">
        <v>7</v>
      </c>
      <c r="J88" s="220"/>
      <c r="K88" s="220"/>
      <c r="L88" s="224">
        <v>32</v>
      </c>
      <c r="M88" s="220"/>
      <c r="N88" s="217"/>
      <c r="O88" s="220"/>
      <c r="P88" s="231" t="s">
        <v>458</v>
      </c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</row>
    <row r="89" spans="1:29" ht="15.75" customHeight="1" x14ac:dyDescent="0.15">
      <c r="A89" s="225" t="s">
        <v>109</v>
      </c>
      <c r="B89" s="226" t="s">
        <v>4</v>
      </c>
      <c r="C89" s="225" t="s">
        <v>459</v>
      </c>
      <c r="D89" s="210">
        <f t="shared" si="4"/>
        <v>365.92500000000001</v>
      </c>
      <c r="E89" s="211">
        <f t="shared" si="9"/>
        <v>348.5</v>
      </c>
      <c r="F89" s="212">
        <f t="shared" si="5"/>
        <v>430.5</v>
      </c>
      <c r="G89" s="227">
        <v>410</v>
      </c>
      <c r="H89" s="232"/>
      <c r="I89" s="222">
        <v>15</v>
      </c>
      <c r="J89" s="220"/>
      <c r="K89" s="220"/>
      <c r="L89" s="224">
        <v>64</v>
      </c>
      <c r="M89" s="220"/>
      <c r="N89" s="217"/>
      <c r="O89" s="220"/>
      <c r="P89" s="231" t="s">
        <v>460</v>
      </c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</row>
    <row r="90" spans="1:29" ht="15.75" customHeight="1" x14ac:dyDescent="0.15">
      <c r="A90" s="225" t="s">
        <v>461</v>
      </c>
      <c r="B90" s="226" t="s">
        <v>4</v>
      </c>
      <c r="C90" s="225" t="s">
        <v>462</v>
      </c>
      <c r="D90" s="210">
        <f t="shared" si="4"/>
        <v>66.045000000000002</v>
      </c>
      <c r="E90" s="211">
        <f t="shared" si="9"/>
        <v>62.9</v>
      </c>
      <c r="F90" s="212">
        <f t="shared" si="5"/>
        <v>77.7</v>
      </c>
      <c r="G90" s="227">
        <v>74</v>
      </c>
      <c r="H90" s="232"/>
      <c r="I90" s="222">
        <v>6</v>
      </c>
      <c r="J90" s="220"/>
      <c r="K90" s="220"/>
      <c r="L90" s="224">
        <v>8</v>
      </c>
      <c r="M90" s="220"/>
      <c r="N90" s="217"/>
      <c r="O90" s="220"/>
      <c r="P90" s="231" t="s">
        <v>463</v>
      </c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</row>
    <row r="91" spans="1:29" ht="15.75" customHeight="1" x14ac:dyDescent="0.15">
      <c r="A91" s="225" t="s">
        <v>110</v>
      </c>
      <c r="B91" s="226" t="s">
        <v>4</v>
      </c>
      <c r="C91" s="225" t="s">
        <v>464</v>
      </c>
      <c r="D91" s="210">
        <f t="shared" si="4"/>
        <v>1785</v>
      </c>
      <c r="E91" s="211">
        <f t="shared" si="9"/>
        <v>1700</v>
      </c>
      <c r="F91" s="212">
        <f t="shared" si="5"/>
        <v>2100</v>
      </c>
      <c r="G91" s="227">
        <v>2000</v>
      </c>
      <c r="H91" s="232"/>
      <c r="I91" s="222">
        <v>6</v>
      </c>
      <c r="J91" s="220"/>
      <c r="K91" s="220"/>
      <c r="L91" s="224">
        <v>128</v>
      </c>
      <c r="M91" s="220"/>
      <c r="N91" s="217"/>
      <c r="O91" s="220"/>
      <c r="P91" s="242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</row>
    <row r="92" spans="1:29" ht="15.75" customHeight="1" x14ac:dyDescent="0.15">
      <c r="A92" s="209" t="s">
        <v>131</v>
      </c>
      <c r="B92" s="164" t="s">
        <v>331</v>
      </c>
      <c r="C92" s="209" t="s">
        <v>465</v>
      </c>
      <c r="D92" s="210">
        <f t="shared" si="4"/>
        <v>317.86650000000003</v>
      </c>
      <c r="E92" s="211">
        <v>302.73</v>
      </c>
      <c r="F92" s="212">
        <f t="shared" si="5"/>
        <v>367.5</v>
      </c>
      <c r="G92" s="219">
        <v>350</v>
      </c>
      <c r="H92" s="232"/>
      <c r="I92" s="215">
        <v>7.5</v>
      </c>
      <c r="J92" s="220"/>
      <c r="K92" s="220">
        <v>8</v>
      </c>
      <c r="L92" s="220"/>
      <c r="M92" s="220"/>
      <c r="N92" s="217"/>
      <c r="O92" s="220"/>
      <c r="P92" s="243" t="str">
        <f>HYPERLINK("http://www.seagate.com/be/nl/internal-hard-drives/enterprise-hard-drives/hdd/enterprise-capacity-3-5-hdd/?cmpid=friendly-_-pr-enterprise-capacity-3_5-us","http://www.seagate.com/be/nl/internal-hard-drives/enterprise-hard-drives/hdd/enterprise-capacity-3-5-hdd/?cmpid=friendly-_-pr-enterprise-capacity-3_5-us")</f>
        <v>http://www.seagate.com/be/nl/internal-hard-drives/enterprise-hard-drives/hdd/enterprise-capacity-3-5-hdd/?cmpid=friendly-_-pr-enterprise-capacity-3_5-us</v>
      </c>
      <c r="Q92" s="164"/>
      <c r="R92" s="164" t="s">
        <v>466</v>
      </c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</row>
    <row r="93" spans="1:29" ht="15.75" customHeight="1" x14ac:dyDescent="0.15">
      <c r="A93" s="209" t="s">
        <v>467</v>
      </c>
      <c r="B93" s="209" t="s">
        <v>304</v>
      </c>
      <c r="C93" s="209" t="s">
        <v>468</v>
      </c>
      <c r="D93" s="210">
        <f t="shared" si="4"/>
        <v>317.86650000000003</v>
      </c>
      <c r="E93" s="211">
        <v>302.73</v>
      </c>
      <c r="F93" s="212">
        <f t="shared" si="5"/>
        <v>399</v>
      </c>
      <c r="G93" s="219">
        <v>380</v>
      </c>
      <c r="H93" s="232"/>
      <c r="I93" s="215">
        <v>6</v>
      </c>
      <c r="J93" s="220"/>
      <c r="K93" s="220"/>
      <c r="L93" s="220"/>
      <c r="M93" s="220"/>
      <c r="N93" s="215"/>
      <c r="O93" s="220"/>
      <c r="P93" s="243" t="str">
        <f>HYPERLINK("http://www.samsung.com/global/business/semiconductor/minisite/SSD/global/html/ssd950pro/specifications.html","http://www.samsung.com/global/business/semiconductor/minisite/SSD/global/html/ssd950pro/specifications.html")</f>
        <v>http://www.samsung.com/global/business/semiconductor/minisite/SSD/global/html/ssd950pro/specifications.html</v>
      </c>
      <c r="Q93" s="164"/>
      <c r="R93" s="164" t="s">
        <v>469</v>
      </c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</row>
    <row r="94" spans="1:29" ht="15.75" customHeight="1" x14ac:dyDescent="0.15">
      <c r="A94" s="209" t="s">
        <v>470</v>
      </c>
      <c r="B94" s="164" t="s">
        <v>331</v>
      </c>
      <c r="C94" s="209" t="s">
        <v>471</v>
      </c>
      <c r="D94" s="210">
        <f t="shared" si="4"/>
        <v>317.86650000000003</v>
      </c>
      <c r="E94" s="211">
        <v>302.73</v>
      </c>
      <c r="F94" s="212">
        <f t="shared" si="5"/>
        <v>291.06000000000006</v>
      </c>
      <c r="G94" s="219">
        <f>G95</f>
        <v>277.20000000000005</v>
      </c>
      <c r="H94" s="232"/>
      <c r="I94" s="215">
        <v>6</v>
      </c>
      <c r="J94" s="220"/>
      <c r="K94" s="220">
        <v>6</v>
      </c>
      <c r="L94" s="220"/>
      <c r="M94" s="220"/>
      <c r="N94" s="215"/>
      <c r="O94" s="220"/>
      <c r="P94" s="164"/>
      <c r="Q94" s="164"/>
      <c r="R94" s="164" t="s">
        <v>472</v>
      </c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</row>
    <row r="95" spans="1:29" ht="15.75" customHeight="1" x14ac:dyDescent="0.15">
      <c r="A95" s="209" t="s">
        <v>473</v>
      </c>
      <c r="B95" s="209" t="s">
        <v>304</v>
      </c>
      <c r="C95" s="209" t="s">
        <v>474</v>
      </c>
      <c r="D95" s="210">
        <f t="shared" si="4"/>
        <v>224.70000000000002</v>
      </c>
      <c r="E95" s="211">
        <v>214</v>
      </c>
      <c r="F95" s="212">
        <f t="shared" si="5"/>
        <v>291.06000000000006</v>
      </c>
      <c r="G95" s="219">
        <f t="shared" ref="G95:G96" si="10">252*1.1</f>
        <v>277.20000000000005</v>
      </c>
      <c r="H95" s="232"/>
      <c r="I95" s="215">
        <v>6</v>
      </c>
      <c r="J95" s="220">
        <v>0.47</v>
      </c>
      <c r="K95" s="220"/>
      <c r="L95" s="220"/>
      <c r="M95" s="220"/>
      <c r="N95" s="237"/>
      <c r="O95" s="220"/>
      <c r="P95" s="244" t="str">
        <f>HYPERLINK("http://www.samsung.com/global/business/semiconductor/minisite/SSD/global/html/ssdpm863/specifications.html","http://www.samsung.com/global/business/semiconductor/minisite/SSD/global/html/ssdpm863/specifications.html")</f>
        <v>http://www.samsung.com/global/business/semiconductor/minisite/SSD/global/html/ssdpm863/specifications.html</v>
      </c>
      <c r="Q95" s="164"/>
      <c r="R95" s="164" t="s">
        <v>475</v>
      </c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</row>
    <row r="96" spans="1:29" ht="15.75" customHeight="1" x14ac:dyDescent="0.15">
      <c r="A96" s="209" t="s">
        <v>93</v>
      </c>
      <c r="B96" s="209" t="s">
        <v>304</v>
      </c>
      <c r="C96" s="209" t="s">
        <v>476</v>
      </c>
      <c r="D96" s="210">
        <f t="shared" si="4"/>
        <v>262.5</v>
      </c>
      <c r="E96" s="211">
        <v>250</v>
      </c>
      <c r="F96" s="212">
        <f t="shared" si="5"/>
        <v>291.06000000000006</v>
      </c>
      <c r="G96" s="219">
        <f t="shared" si="10"/>
        <v>277.20000000000005</v>
      </c>
      <c r="H96" s="232"/>
      <c r="I96" s="215">
        <v>6</v>
      </c>
      <c r="J96" s="220">
        <v>0.47</v>
      </c>
      <c r="K96" s="220"/>
      <c r="L96" s="220"/>
      <c r="M96" s="220"/>
      <c r="N96" s="237"/>
      <c r="O96" s="220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</row>
    <row r="97" spans="1:29" ht="15.75" customHeight="1" x14ac:dyDescent="0.15">
      <c r="A97" s="209" t="s">
        <v>88</v>
      </c>
      <c r="B97" s="209" t="s">
        <v>304</v>
      </c>
      <c r="C97" s="209" t="s">
        <v>477</v>
      </c>
      <c r="D97" s="210">
        <f t="shared" si="4"/>
        <v>399</v>
      </c>
      <c r="E97" s="211">
        <v>380</v>
      </c>
      <c r="F97" s="212">
        <f t="shared" si="5"/>
        <v>588</v>
      </c>
      <c r="G97" s="219">
        <f>560</f>
        <v>560</v>
      </c>
      <c r="H97" s="232"/>
      <c r="I97" s="215">
        <v>6</v>
      </c>
      <c r="J97" s="220">
        <v>0.98</v>
      </c>
      <c r="K97" s="220"/>
      <c r="L97" s="220"/>
      <c r="M97" s="220"/>
      <c r="N97" s="215"/>
      <c r="O97" s="220"/>
      <c r="P97" s="164"/>
      <c r="Q97" s="164"/>
      <c r="R97" s="164" t="s">
        <v>478</v>
      </c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</row>
    <row r="98" spans="1:29" ht="15.75" customHeight="1" x14ac:dyDescent="0.15">
      <c r="A98" s="209" t="s">
        <v>142</v>
      </c>
      <c r="B98" s="209" t="s">
        <v>479</v>
      </c>
      <c r="C98" s="209" t="s">
        <v>480</v>
      </c>
      <c r="D98" s="210">
        <f t="shared" si="4"/>
        <v>624.75</v>
      </c>
      <c r="E98" s="211">
        <v>595</v>
      </c>
      <c r="F98" s="212">
        <f t="shared" si="5"/>
        <v>660.66000000000008</v>
      </c>
      <c r="G98" s="219">
        <f>572*1.1</f>
        <v>629.20000000000005</v>
      </c>
      <c r="H98" s="232"/>
      <c r="I98" s="215">
        <v>6</v>
      </c>
      <c r="J98" s="220"/>
      <c r="K98" s="220"/>
      <c r="L98" s="220"/>
      <c r="M98" s="220"/>
      <c r="N98" s="237"/>
      <c r="O98" s="220"/>
      <c r="P98" s="238" t="str">
        <f>HYPERLINK("http://www.intel.com/content/www/us/en/solid-state-drives/ssd-dc-p3600-spec.html","http://www.intel.com/content/www/us/en/solid-state-drives/ssd-dc-p3600-spec.html")</f>
        <v>http://www.intel.com/content/www/us/en/solid-state-drives/ssd-dc-p3600-spec.html</v>
      </c>
      <c r="Q98" s="164"/>
      <c r="R98" s="164" t="s">
        <v>481</v>
      </c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</row>
    <row r="99" spans="1:29" ht="15.75" customHeight="1" x14ac:dyDescent="0.15">
      <c r="A99" s="209" t="s">
        <v>141</v>
      </c>
      <c r="B99" s="164" t="s">
        <v>479</v>
      </c>
      <c r="C99" s="209" t="s">
        <v>482</v>
      </c>
      <c r="D99" s="210">
        <f t="shared" si="4"/>
        <v>1389.15</v>
      </c>
      <c r="E99" s="211">
        <v>1323</v>
      </c>
      <c r="F99" s="212">
        <f t="shared" si="5"/>
        <v>1528.0650000000003</v>
      </c>
      <c r="G99" s="219">
        <f>1.1*E99</f>
        <v>1455.3000000000002</v>
      </c>
      <c r="H99" s="232"/>
      <c r="I99" s="215">
        <v>5</v>
      </c>
      <c r="J99" s="220">
        <v>2</v>
      </c>
      <c r="K99" s="220"/>
      <c r="L99" s="220"/>
      <c r="M99" s="220"/>
      <c r="N99" s="217"/>
      <c r="O99" s="220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</row>
    <row r="100" spans="1:29" ht="15.75" customHeight="1" x14ac:dyDescent="0.15">
      <c r="A100" s="209" t="s">
        <v>134</v>
      </c>
      <c r="B100" s="164" t="s">
        <v>331</v>
      </c>
      <c r="C100" s="209" t="s">
        <v>483</v>
      </c>
      <c r="D100" s="210">
        <f t="shared" si="4"/>
        <v>267.75</v>
      </c>
      <c r="E100" s="211">
        <f>G100*0.85</f>
        <v>255</v>
      </c>
      <c r="F100" s="212">
        <f t="shared" si="5"/>
        <v>315</v>
      </c>
      <c r="G100" s="227">
        <v>300</v>
      </c>
      <c r="H100" s="232"/>
      <c r="I100" s="215">
        <v>6.8</v>
      </c>
      <c r="J100" s="220"/>
      <c r="K100" s="220">
        <v>10</v>
      </c>
      <c r="L100" s="220"/>
      <c r="M100" s="220"/>
      <c r="N100" s="217"/>
      <c r="O100" s="220"/>
      <c r="P100" s="164"/>
      <c r="Q100" s="164"/>
      <c r="R100" s="164" t="s">
        <v>484</v>
      </c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</row>
    <row r="101" spans="1:29" ht="15.75" customHeight="1" x14ac:dyDescent="0.15">
      <c r="A101" s="87" t="s">
        <v>132</v>
      </c>
      <c r="B101" s="88" t="s">
        <v>331</v>
      </c>
      <c r="C101" s="87" t="s">
        <v>485</v>
      </c>
      <c r="D101" s="250">
        <v>328.94</v>
      </c>
      <c r="E101" s="250">
        <v>328.94</v>
      </c>
      <c r="F101" s="252">
        <v>405</v>
      </c>
      <c r="G101" s="253">
        <v>405</v>
      </c>
      <c r="H101" s="254"/>
      <c r="I101" s="255">
        <v>10</v>
      </c>
      <c r="J101" s="256"/>
      <c r="K101" s="257">
        <v>12</v>
      </c>
      <c r="L101" s="256"/>
      <c r="M101" s="256"/>
      <c r="N101" s="258"/>
      <c r="O101" s="256"/>
      <c r="P101" s="259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</row>
    <row r="102" spans="1:29" ht="15.75" customHeight="1" x14ac:dyDescent="0.15">
      <c r="A102" s="209" t="s">
        <v>486</v>
      </c>
      <c r="B102" s="209" t="s">
        <v>304</v>
      </c>
      <c r="C102" s="209" t="s">
        <v>487</v>
      </c>
      <c r="D102" s="210">
        <f t="shared" ref="D102:D144" si="11">E102*1.05</f>
        <v>141.75</v>
      </c>
      <c r="E102" s="211">
        <v>135</v>
      </c>
      <c r="F102" s="212">
        <f t="shared" ref="F102:F117" si="12">G102*1.05</f>
        <v>131.25</v>
      </c>
      <c r="G102" s="219">
        <v>125</v>
      </c>
      <c r="H102" s="232"/>
      <c r="I102" s="215">
        <v>6</v>
      </c>
      <c r="J102" s="220">
        <v>0.25</v>
      </c>
      <c r="K102" s="220"/>
      <c r="L102" s="220"/>
      <c r="M102" s="220"/>
      <c r="N102" s="237"/>
      <c r="O102" s="220"/>
      <c r="P102" s="262" t="str">
        <f>HYPERLINK("http://www.samsung.com/global/business/semiconductor/minisite/SSD/global/html/ssdpm863/specifications.html","http://www.samsung.com/global/business/semiconductor/minisite/SSD/global/html/ssdpm863/specifications.html")</f>
        <v>http://www.samsung.com/global/business/semiconductor/minisite/SSD/global/html/ssdpm863/specifications.html</v>
      </c>
      <c r="Q102" s="164"/>
      <c r="R102" s="164" t="s">
        <v>488</v>
      </c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</row>
    <row r="103" spans="1:29" ht="15.75" customHeight="1" x14ac:dyDescent="0.15">
      <c r="A103" s="209" t="s">
        <v>489</v>
      </c>
      <c r="B103" s="209" t="s">
        <v>479</v>
      </c>
      <c r="C103" s="209" t="s">
        <v>490</v>
      </c>
      <c r="D103" s="210">
        <f t="shared" si="11"/>
        <v>258.82499999999999</v>
      </c>
      <c r="E103" s="211">
        <f t="shared" ref="E103:E108" si="13">G103*0.85</f>
        <v>246.5</v>
      </c>
      <c r="F103" s="212">
        <f t="shared" si="12"/>
        <v>304.5</v>
      </c>
      <c r="G103" s="219">
        <v>290</v>
      </c>
      <c r="H103" s="232"/>
      <c r="I103" s="215">
        <v>6</v>
      </c>
      <c r="J103" s="220"/>
      <c r="K103" s="220"/>
      <c r="L103" s="220"/>
      <c r="M103" s="220"/>
      <c r="N103" s="237"/>
      <c r="O103" s="220"/>
      <c r="P103" s="238" t="str">
        <f>HYPERLINK("http://www.intel.com/content/www/us/en/solid-state-drives/ssd-dc-p3600-spec.html","http://www.intel.com/content/www/us/en/solid-state-drives/ssd-dc-p3600-spec.html")</f>
        <v>http://www.intel.com/content/www/us/en/solid-state-drives/ssd-dc-p3600-spec.html</v>
      </c>
      <c r="Q103" s="164"/>
      <c r="R103" s="164" t="s">
        <v>491</v>
      </c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</row>
    <row r="104" spans="1:29" ht="15.75" customHeight="1" x14ac:dyDescent="0.15">
      <c r="A104" s="209" t="s">
        <v>133</v>
      </c>
      <c r="B104" s="164" t="s">
        <v>331</v>
      </c>
      <c r="C104" s="209" t="s">
        <v>492</v>
      </c>
      <c r="D104" s="210">
        <f t="shared" si="11"/>
        <v>223.125</v>
      </c>
      <c r="E104" s="211">
        <f t="shared" si="13"/>
        <v>212.5</v>
      </c>
      <c r="F104" s="212">
        <f t="shared" si="12"/>
        <v>262.5</v>
      </c>
      <c r="G104" s="219">
        <v>250</v>
      </c>
      <c r="H104" s="232"/>
      <c r="I104" s="215">
        <v>6</v>
      </c>
      <c r="J104" s="220"/>
      <c r="K104" s="220">
        <v>6</v>
      </c>
      <c r="L104" s="220"/>
      <c r="M104" s="220"/>
      <c r="N104" s="217"/>
      <c r="O104" s="220"/>
      <c r="P104" s="243" t="str">
        <f>HYPERLINK("http://www.seagate.com/be/nl/internal-hard-drives/enterprise-hard-drives/hdd/enterprise-capacity-3-5-hdd/?cmpid=friendly-_-pr-enterprise-capacity-3_5-us","http://www.seagate.com/be/nl/internal-hard-drives/enterprise-hard-drives/hdd/enterprise-capacity-3-5-hdd/?cmpid=friendly-_-pr-enterprise-capacity-3_5-us")</f>
        <v>http://www.seagate.com/be/nl/internal-hard-drives/enterprise-hard-drives/hdd/enterprise-capacity-3-5-hdd/?cmpid=friendly-_-pr-enterprise-capacity-3_5-us</v>
      </c>
      <c r="Q104" s="164"/>
      <c r="R104" s="164" t="s">
        <v>493</v>
      </c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</row>
    <row r="105" spans="1:29" ht="15.75" customHeight="1" x14ac:dyDescent="0.15">
      <c r="A105" s="225" t="s">
        <v>122</v>
      </c>
      <c r="B105" s="226" t="s">
        <v>304</v>
      </c>
      <c r="C105" s="25" t="s">
        <v>494</v>
      </c>
      <c r="D105" s="210">
        <f t="shared" si="11"/>
        <v>223.125</v>
      </c>
      <c r="E105" s="211">
        <f t="shared" si="13"/>
        <v>212.5</v>
      </c>
      <c r="F105" s="212">
        <f t="shared" si="12"/>
        <v>262.5</v>
      </c>
      <c r="G105" s="227">
        <v>250</v>
      </c>
      <c r="H105" s="232"/>
      <c r="I105" s="270">
        <v>3</v>
      </c>
      <c r="J105" s="224">
        <v>0.98</v>
      </c>
      <c r="K105" s="220"/>
      <c r="L105" s="220"/>
      <c r="M105" s="220"/>
      <c r="N105" s="215"/>
      <c r="O105" s="220"/>
      <c r="P105" s="231" t="s">
        <v>495</v>
      </c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</row>
    <row r="106" spans="1:29" ht="15.75" customHeight="1" x14ac:dyDescent="0.15">
      <c r="A106" s="225" t="s">
        <v>496</v>
      </c>
      <c r="B106" s="226" t="s">
        <v>304</v>
      </c>
      <c r="C106" s="225" t="s">
        <v>497</v>
      </c>
      <c r="D106" s="210">
        <f t="shared" si="11"/>
        <v>124.95</v>
      </c>
      <c r="E106" s="211">
        <f t="shared" si="13"/>
        <v>119</v>
      </c>
      <c r="F106" s="212">
        <f t="shared" si="12"/>
        <v>147</v>
      </c>
      <c r="G106" s="227">
        <v>140</v>
      </c>
      <c r="H106" s="232"/>
      <c r="I106" s="270">
        <v>3</v>
      </c>
      <c r="J106" s="224">
        <v>0.48</v>
      </c>
      <c r="K106" s="220"/>
      <c r="L106" s="220"/>
      <c r="M106" s="220"/>
      <c r="N106" s="215"/>
      <c r="O106" s="220"/>
      <c r="P106" s="231" t="s">
        <v>498</v>
      </c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</row>
    <row r="107" spans="1:29" ht="15.75" customHeight="1" x14ac:dyDescent="0.15">
      <c r="A107" s="225" t="s">
        <v>89</v>
      </c>
      <c r="B107" s="226" t="s">
        <v>479</v>
      </c>
      <c r="C107" s="225" t="s">
        <v>500</v>
      </c>
      <c r="D107" s="210">
        <f t="shared" si="11"/>
        <v>223.125</v>
      </c>
      <c r="E107" s="211">
        <f t="shared" si="13"/>
        <v>212.5</v>
      </c>
      <c r="F107" s="212">
        <f t="shared" si="12"/>
        <v>262.5</v>
      </c>
      <c r="G107" s="227">
        <v>250</v>
      </c>
      <c r="H107" s="232"/>
      <c r="I107" s="270">
        <v>8</v>
      </c>
      <c r="J107" s="224">
        <v>1</v>
      </c>
      <c r="K107" s="220"/>
      <c r="L107" s="220"/>
      <c r="M107" s="220"/>
      <c r="N107" s="215"/>
      <c r="O107" s="220"/>
      <c r="P107" s="231" t="s">
        <v>501</v>
      </c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</row>
    <row r="108" spans="1:29" ht="15.75" customHeight="1" x14ac:dyDescent="0.15">
      <c r="A108" s="225" t="s">
        <v>101</v>
      </c>
      <c r="B108" s="226" t="s">
        <v>479</v>
      </c>
      <c r="C108" s="225" t="s">
        <v>502</v>
      </c>
      <c r="D108" s="210">
        <f t="shared" si="11"/>
        <v>343.61250000000001</v>
      </c>
      <c r="E108" s="211">
        <f t="shared" si="13"/>
        <v>327.25</v>
      </c>
      <c r="F108" s="212">
        <f t="shared" si="12"/>
        <v>404.25</v>
      </c>
      <c r="G108" s="227">
        <v>385</v>
      </c>
      <c r="H108" s="232"/>
      <c r="I108" s="270">
        <v>8</v>
      </c>
      <c r="J108" s="224">
        <v>1</v>
      </c>
      <c r="K108" s="220"/>
      <c r="L108" s="220"/>
      <c r="M108" s="220"/>
      <c r="N108" s="215"/>
      <c r="O108" s="220"/>
      <c r="P108" s="231" t="s">
        <v>503</v>
      </c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</row>
    <row r="109" spans="1:29" ht="15.75" customHeight="1" x14ac:dyDescent="0.15">
      <c r="A109" s="209" t="s">
        <v>504</v>
      </c>
      <c r="B109" s="164" t="s">
        <v>505</v>
      </c>
      <c r="C109" s="276" t="s">
        <v>506</v>
      </c>
      <c r="D109" s="210">
        <f t="shared" si="11"/>
        <v>215.25</v>
      </c>
      <c r="E109" s="211">
        <v>205</v>
      </c>
      <c r="F109" s="212">
        <f t="shared" si="12"/>
        <v>296.83500000000004</v>
      </c>
      <c r="G109" s="219">
        <f>257*1.1</f>
        <v>282.70000000000005</v>
      </c>
      <c r="H109" s="232"/>
      <c r="I109" s="217"/>
      <c r="J109" s="220"/>
      <c r="K109" s="220"/>
      <c r="L109" s="220"/>
      <c r="M109" s="220"/>
      <c r="N109" s="215"/>
      <c r="O109" s="220"/>
      <c r="P109" s="218" t="str">
        <f>HYPERLINK("https://www.mellanox.com/related-docs/prod_adapter_cards/ConnectX3_EN_Card.pdf","https://www.mellanox.com/related-docs/prod_adapter_cards/ConnectX3_EN_Card.pdf")</f>
        <v>https://www.mellanox.com/related-docs/prod_adapter_cards/ConnectX3_EN_Card.pdf</v>
      </c>
      <c r="Q109" s="164"/>
      <c r="R109" s="164" t="s">
        <v>507</v>
      </c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</row>
    <row r="110" spans="1:29" ht="15.75" customHeight="1" x14ac:dyDescent="0.15">
      <c r="A110" s="209" t="s">
        <v>508</v>
      </c>
      <c r="B110" s="164" t="s">
        <v>505</v>
      </c>
      <c r="C110" s="209" t="s">
        <v>509</v>
      </c>
      <c r="D110" s="210">
        <f t="shared" si="11"/>
        <v>430.5</v>
      </c>
      <c r="E110" s="211">
        <v>410</v>
      </c>
      <c r="F110" s="212">
        <f t="shared" si="12"/>
        <v>483</v>
      </c>
      <c r="G110" s="219">
        <v>460</v>
      </c>
      <c r="H110" s="232"/>
      <c r="I110" s="217"/>
      <c r="J110" s="220"/>
      <c r="K110" s="220"/>
      <c r="L110" s="220"/>
      <c r="M110" s="220"/>
      <c r="N110" s="217"/>
      <c r="O110" s="220"/>
      <c r="P110" s="277" t="e">
        <f>HYPERLINK("http://www.mellanoxstore.com/products/mellanox-mcx314a-bcct-connectx-3-pro-en-network-interface-card-40-56gbe-dual-port-qsfp-pcie3-0-x8-8gt-s-tall-bracket-rohs-r6.html?utm_source=google&amp;utm_medium=cpc&amp;utm_keyword=mcx314a-bcct&amp;utm_campaign=mlnx_adapters&amp;gc"&amp;"lid=CO3AuLrS08kCFVW7Gwodsd0Omw","http://www.mellanoxstore.com/products/mellanox-mcx314a-bcct-connectx-3-pro-en-network-interface-card-40-56gbe-dual-port-qsfp-pcie3-0-x8-8gt-s-tall-bracket-rohs-r6.html?utm_source=google&amp;utm_medium=cpc&amp;utm_keyword=mcx314a-bcct&amp;utm_campaign=mlnx_adapters&amp;gc"&amp;"lid=CO3AuLrS08kCFVW7Gwodsd0Omw")</f>
        <v>#VALUE!</v>
      </c>
      <c r="Q110" s="164"/>
      <c r="R110" s="164" t="s">
        <v>511</v>
      </c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</row>
    <row r="111" spans="1:29" ht="15.75" customHeight="1" x14ac:dyDescent="0.15">
      <c r="A111" s="209" t="s">
        <v>512</v>
      </c>
      <c r="B111" s="164" t="s">
        <v>505</v>
      </c>
      <c r="C111" s="209" t="s">
        <v>513</v>
      </c>
      <c r="D111" s="210">
        <f t="shared" si="11"/>
        <v>215.25</v>
      </c>
      <c r="E111" s="211">
        <v>205</v>
      </c>
      <c r="F111" s="212">
        <f t="shared" si="12"/>
        <v>236.77500000000003</v>
      </c>
      <c r="G111" s="219">
        <f>E111*1.1</f>
        <v>225.50000000000003</v>
      </c>
      <c r="H111" s="232"/>
      <c r="I111" s="215"/>
      <c r="J111" s="220"/>
      <c r="K111" s="220"/>
      <c r="L111" s="220"/>
      <c r="M111" s="220"/>
      <c r="N111" s="217"/>
      <c r="O111" s="220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</row>
    <row r="112" spans="1:29" ht="15.75" customHeight="1" x14ac:dyDescent="0.15">
      <c r="A112" s="209" t="s">
        <v>514</v>
      </c>
      <c r="B112" s="164" t="s">
        <v>505</v>
      </c>
      <c r="C112" s="209" t="s">
        <v>515</v>
      </c>
      <c r="D112" s="210">
        <f t="shared" si="11"/>
        <v>267.75</v>
      </c>
      <c r="E112" s="211">
        <f t="shared" ref="E112:E117" si="14">G112*0.85</f>
        <v>255</v>
      </c>
      <c r="F112" s="212">
        <f t="shared" si="12"/>
        <v>315</v>
      </c>
      <c r="G112" s="227">
        <v>300</v>
      </c>
      <c r="H112" s="232"/>
      <c r="I112" s="215"/>
      <c r="J112" s="220"/>
      <c r="K112" s="220"/>
      <c r="L112" s="220"/>
      <c r="M112" s="220"/>
      <c r="N112" s="217"/>
      <c r="O112" s="220"/>
      <c r="P112" s="231" t="s">
        <v>516</v>
      </c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</row>
    <row r="113" spans="1:29" ht="15.75" customHeight="1" x14ac:dyDescent="0.15">
      <c r="A113" s="225" t="s">
        <v>517</v>
      </c>
      <c r="B113" s="226" t="s">
        <v>505</v>
      </c>
      <c r="C113" s="278" t="s">
        <v>518</v>
      </c>
      <c r="D113" s="210">
        <f t="shared" si="11"/>
        <v>580.125</v>
      </c>
      <c r="E113" s="211">
        <f t="shared" si="14"/>
        <v>552.5</v>
      </c>
      <c r="F113" s="212">
        <f t="shared" si="12"/>
        <v>682.5</v>
      </c>
      <c r="G113" s="227">
        <v>650</v>
      </c>
      <c r="H113" s="214"/>
      <c r="I113" s="215"/>
      <c r="J113" s="220"/>
      <c r="K113" s="220"/>
      <c r="L113" s="220"/>
      <c r="M113" s="220"/>
      <c r="N113" s="217"/>
      <c r="O113" s="220"/>
      <c r="P113" s="231" t="s">
        <v>519</v>
      </c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</row>
    <row r="114" spans="1:29" ht="15.75" customHeight="1" x14ac:dyDescent="0.15">
      <c r="A114" s="225" t="s">
        <v>520</v>
      </c>
      <c r="B114" s="226" t="s">
        <v>505</v>
      </c>
      <c r="C114" s="278" t="s">
        <v>521</v>
      </c>
      <c r="D114" s="210">
        <f t="shared" si="11"/>
        <v>892.5</v>
      </c>
      <c r="E114" s="211">
        <f t="shared" si="14"/>
        <v>850</v>
      </c>
      <c r="F114" s="212">
        <f t="shared" si="12"/>
        <v>1050</v>
      </c>
      <c r="G114" s="227">
        <v>1000</v>
      </c>
      <c r="H114" s="214"/>
      <c r="I114" s="222">
        <v>50</v>
      </c>
      <c r="J114" s="220"/>
      <c r="K114" s="220"/>
      <c r="L114" s="220"/>
      <c r="M114" s="220"/>
      <c r="N114" s="217"/>
      <c r="O114" s="220"/>
      <c r="P114" s="231" t="s">
        <v>522</v>
      </c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</row>
    <row r="115" spans="1:29" ht="15.75" customHeight="1" x14ac:dyDescent="0.15">
      <c r="A115" s="225" t="s">
        <v>523</v>
      </c>
      <c r="B115" s="226" t="s">
        <v>505</v>
      </c>
      <c r="C115" s="278" t="s">
        <v>524</v>
      </c>
      <c r="D115" s="210">
        <f t="shared" si="11"/>
        <v>892.5</v>
      </c>
      <c r="E115" s="211">
        <f t="shared" si="14"/>
        <v>850</v>
      </c>
      <c r="F115" s="212">
        <f t="shared" si="12"/>
        <v>1050</v>
      </c>
      <c r="G115" s="227">
        <v>1000</v>
      </c>
      <c r="H115" s="214"/>
      <c r="I115" s="222">
        <v>50</v>
      </c>
      <c r="J115" s="220"/>
      <c r="K115" s="220"/>
      <c r="L115" s="220"/>
      <c r="M115" s="220"/>
      <c r="N115" s="217"/>
      <c r="O115" s="220"/>
      <c r="P115" s="231" t="s">
        <v>525</v>
      </c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</row>
    <row r="116" spans="1:29" ht="15.75" customHeight="1" x14ac:dyDescent="0.15">
      <c r="A116" s="225" t="s">
        <v>526</v>
      </c>
      <c r="B116" s="226" t="s">
        <v>505</v>
      </c>
      <c r="C116" s="278" t="s">
        <v>527</v>
      </c>
      <c r="D116" s="210">
        <f t="shared" si="11"/>
        <v>669.375</v>
      </c>
      <c r="E116" s="211">
        <f t="shared" si="14"/>
        <v>637.5</v>
      </c>
      <c r="F116" s="212">
        <f t="shared" si="12"/>
        <v>787.5</v>
      </c>
      <c r="G116" s="227">
        <v>750</v>
      </c>
      <c r="H116" s="214"/>
      <c r="I116" s="222">
        <v>50</v>
      </c>
      <c r="J116" s="220"/>
      <c r="K116" s="220"/>
      <c r="L116" s="220"/>
      <c r="M116" s="220"/>
      <c r="N116" s="217"/>
      <c r="O116" s="220"/>
      <c r="P116" s="231" t="s">
        <v>528</v>
      </c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</row>
    <row r="117" spans="1:29" ht="15.75" customHeight="1" x14ac:dyDescent="0.15">
      <c r="A117" s="225" t="s">
        <v>529</v>
      </c>
      <c r="B117" s="226" t="s">
        <v>505</v>
      </c>
      <c r="C117" s="278" t="s">
        <v>530</v>
      </c>
      <c r="D117" s="210">
        <f t="shared" si="11"/>
        <v>62.475000000000001</v>
      </c>
      <c r="E117" s="211">
        <f t="shared" si="14"/>
        <v>59.5</v>
      </c>
      <c r="F117" s="212">
        <f t="shared" si="12"/>
        <v>73.5</v>
      </c>
      <c r="G117" s="227">
        <v>70</v>
      </c>
      <c r="H117" s="214"/>
      <c r="I117" s="222">
        <v>15</v>
      </c>
      <c r="J117" s="220"/>
      <c r="K117" s="220"/>
      <c r="L117" s="220"/>
      <c r="M117" s="220"/>
      <c r="N117" s="217"/>
      <c r="O117" s="220"/>
      <c r="P117" s="218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</row>
    <row r="118" spans="1:29" ht="15.75" customHeight="1" x14ac:dyDescent="0.15">
      <c r="A118" s="209" t="s">
        <v>531</v>
      </c>
      <c r="B118" s="164" t="s">
        <v>345</v>
      </c>
      <c r="C118" s="279" t="s">
        <v>532</v>
      </c>
      <c r="D118" s="210">
        <f t="shared" si="11"/>
        <v>6945.75</v>
      </c>
      <c r="E118" s="210">
        <f t="shared" ref="E118:F118" si="15">F118*1.05</f>
        <v>6615</v>
      </c>
      <c r="F118" s="210">
        <f t="shared" si="15"/>
        <v>6300</v>
      </c>
      <c r="G118" s="219">
        <v>6000</v>
      </c>
      <c r="H118" s="214">
        <v>1</v>
      </c>
      <c r="I118" s="215">
        <v>48</v>
      </c>
      <c r="J118" s="220"/>
      <c r="K118" s="220"/>
      <c r="L118" s="220"/>
      <c r="M118" s="220"/>
      <c r="N118" s="217"/>
      <c r="O118" s="220">
        <v>2</v>
      </c>
      <c r="P118" s="218" t="str">
        <f>HYPERLINK("http://www.mellanox.com/page/products_dyn?product_family=163&amp;mtag=sx1012","http://www.mellanox.com/page/products_dyn?product_family=163&amp;mtag=sx1012")</f>
        <v>http://www.mellanox.com/page/products_dyn?product_family=163&amp;mtag=sx1012</v>
      </c>
      <c r="Q118" s="164"/>
      <c r="R118" s="164" t="s">
        <v>533</v>
      </c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</row>
    <row r="119" spans="1:29" ht="15.75" customHeight="1" x14ac:dyDescent="0.15">
      <c r="A119" s="225" t="s">
        <v>534</v>
      </c>
      <c r="B119" s="226" t="s">
        <v>345</v>
      </c>
      <c r="C119" s="278" t="s">
        <v>535</v>
      </c>
      <c r="D119" s="210">
        <f t="shared" si="11"/>
        <v>5974.5</v>
      </c>
      <c r="E119" s="281">
        <v>5690</v>
      </c>
      <c r="F119" s="210">
        <f t="shared" ref="F119:F144" si="16">G119*1.05</f>
        <v>7028.7000000000007</v>
      </c>
      <c r="G119" s="227">
        <v>6694</v>
      </c>
      <c r="H119" s="282">
        <v>1</v>
      </c>
      <c r="I119" s="222">
        <v>48</v>
      </c>
      <c r="J119" s="220"/>
      <c r="K119" s="220"/>
      <c r="L119" s="220"/>
      <c r="M119" s="220"/>
      <c r="N119" s="217"/>
      <c r="O119" s="224">
        <v>2</v>
      </c>
      <c r="P119" s="218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</row>
    <row r="120" spans="1:29" ht="15.75" customHeight="1" x14ac:dyDescent="0.15">
      <c r="A120" s="209" t="s">
        <v>536</v>
      </c>
      <c r="B120" s="164" t="s">
        <v>345</v>
      </c>
      <c r="C120" s="209" t="s">
        <v>537</v>
      </c>
      <c r="D120" s="210">
        <f t="shared" si="11"/>
        <v>299.25</v>
      </c>
      <c r="E120" s="211">
        <v>285</v>
      </c>
      <c r="F120" s="212">
        <f t="shared" si="16"/>
        <v>241.5</v>
      </c>
      <c r="G120" s="219">
        <v>230</v>
      </c>
      <c r="H120" s="214">
        <v>1</v>
      </c>
      <c r="I120" s="215">
        <v>96</v>
      </c>
      <c r="J120" s="220"/>
      <c r="K120" s="220"/>
      <c r="L120" s="220"/>
      <c r="M120" s="220"/>
      <c r="N120" s="217"/>
      <c r="O120" s="220">
        <v>1</v>
      </c>
      <c r="P120" s="218" t="str">
        <f>HYPERLINK("http://www.cisco.com/c/en/us/support/switches/sg200-26-26-port-gigabit-smart-switch/model.html","http://www.cisco.com/c/en/us/support/switches/sg200-26-26-port-gigabit-smart-switch/model.html")</f>
        <v>http://www.cisco.com/c/en/us/support/switches/sg200-26-26-port-gigabit-smart-switch/model.html</v>
      </c>
      <c r="Q120" s="164"/>
      <c r="R120" s="164" t="s">
        <v>538</v>
      </c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</row>
    <row r="121" spans="1:29" ht="15.75" customHeight="1" x14ac:dyDescent="0.15">
      <c r="A121" s="209" t="s">
        <v>539</v>
      </c>
      <c r="B121" s="164" t="s">
        <v>345</v>
      </c>
      <c r="C121" s="209" t="s">
        <v>540</v>
      </c>
      <c r="D121" s="210">
        <f t="shared" si="11"/>
        <v>651</v>
      </c>
      <c r="E121" s="211">
        <v>620</v>
      </c>
      <c r="F121" s="212">
        <f t="shared" si="16"/>
        <v>735</v>
      </c>
      <c r="G121" s="219">
        <v>700</v>
      </c>
      <c r="H121" s="214">
        <v>1</v>
      </c>
      <c r="I121" s="215">
        <v>96</v>
      </c>
      <c r="J121" s="220"/>
      <c r="K121" s="220"/>
      <c r="L121" s="220"/>
      <c r="M121" s="220"/>
      <c r="N121" s="217"/>
      <c r="O121" s="220">
        <v>1</v>
      </c>
      <c r="P121" s="283" t="str">
        <f>HYPERLINK("http://www.cisco.com/c/en/us/support/switches/sg220-50-50-port-gigabit-smart-plus-switch/model.html","http://www.cisco.com/c/en/us/support/switches/sg220-50-50-port-gigabit-smart-plus-switch/model.html")</f>
        <v>http://www.cisco.com/c/en/us/support/switches/sg220-50-50-port-gigabit-smart-plus-switch/model.html</v>
      </c>
      <c r="Q121" s="164"/>
      <c r="R121" s="164" t="s">
        <v>541</v>
      </c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</row>
    <row r="122" spans="1:29" ht="15.75" customHeight="1" x14ac:dyDescent="0.15">
      <c r="A122" s="209" t="s">
        <v>542</v>
      </c>
      <c r="B122" s="164" t="s">
        <v>345</v>
      </c>
      <c r="C122" s="279" t="s">
        <v>543</v>
      </c>
      <c r="D122" s="210">
        <f t="shared" si="11"/>
        <v>9196.2045000000016</v>
      </c>
      <c r="E122" s="211">
        <v>8758.2900000000009</v>
      </c>
      <c r="F122" s="212">
        <f t="shared" si="16"/>
        <v>10500</v>
      </c>
      <c r="G122" s="219">
        <v>10000</v>
      </c>
      <c r="H122" s="214">
        <v>1</v>
      </c>
      <c r="I122" s="215">
        <v>150</v>
      </c>
      <c r="J122" s="220"/>
      <c r="K122" s="220"/>
      <c r="L122" s="220"/>
      <c r="M122" s="220"/>
      <c r="N122" s="217"/>
      <c r="O122" s="220">
        <v>2</v>
      </c>
      <c r="P122" s="284" t="str">
        <f>HYPERLINK("http://www.mellanox.com/related-docs/prod_eth_switches/PB_SN2700.pdf","http://www.mellanox.com/related-docs/prod_eth_switches/PB_SN2700.pdf")</f>
        <v>http://www.mellanox.com/related-docs/prod_eth_switches/PB_SN2700.pdf</v>
      </c>
      <c r="Q122" s="164"/>
      <c r="R122" s="164" t="s">
        <v>544</v>
      </c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</row>
    <row r="123" spans="1:29" ht="15.75" customHeight="1" x14ac:dyDescent="0.15">
      <c r="A123" s="225" t="s">
        <v>545</v>
      </c>
      <c r="B123" s="226" t="s">
        <v>345</v>
      </c>
      <c r="C123" s="225" t="s">
        <v>546</v>
      </c>
      <c r="D123" s="210">
        <f t="shared" si="11"/>
        <v>1338.75</v>
      </c>
      <c r="E123" s="211">
        <f t="shared" ref="E123:E124" si="17">G123*0.85</f>
        <v>1275</v>
      </c>
      <c r="F123" s="212">
        <f t="shared" si="16"/>
        <v>1575</v>
      </c>
      <c r="G123" s="227">
        <v>1500</v>
      </c>
      <c r="H123" s="228">
        <v>1</v>
      </c>
      <c r="I123" s="222">
        <v>85</v>
      </c>
      <c r="J123" s="220"/>
      <c r="K123" s="220"/>
      <c r="L123" s="220"/>
      <c r="M123" s="220"/>
      <c r="N123" s="217"/>
      <c r="O123" s="224">
        <v>1</v>
      </c>
      <c r="P123" s="231" t="s">
        <v>547</v>
      </c>
      <c r="Q123" s="164"/>
      <c r="R123" s="209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</row>
    <row r="124" spans="1:29" ht="15.75" customHeight="1" x14ac:dyDescent="0.15">
      <c r="A124" s="225" t="s">
        <v>548</v>
      </c>
      <c r="B124" s="226" t="s">
        <v>345</v>
      </c>
      <c r="C124" s="225" t="s">
        <v>549</v>
      </c>
      <c r="D124" s="210">
        <f t="shared" si="11"/>
        <v>29452.5</v>
      </c>
      <c r="E124" s="211">
        <f t="shared" si="17"/>
        <v>28050</v>
      </c>
      <c r="F124" s="212">
        <f t="shared" si="16"/>
        <v>34650</v>
      </c>
      <c r="G124" s="227">
        <v>33000</v>
      </c>
      <c r="H124" s="228">
        <v>1</v>
      </c>
      <c r="I124" s="222">
        <v>150</v>
      </c>
      <c r="J124" s="220"/>
      <c r="K124" s="220"/>
      <c r="L124" s="220"/>
      <c r="M124" s="220"/>
      <c r="N124" s="217"/>
      <c r="O124" s="224">
        <v>1</v>
      </c>
      <c r="P124" s="231" t="s">
        <v>550</v>
      </c>
      <c r="Q124" s="164"/>
      <c r="R124" s="209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</row>
    <row r="125" spans="1:29" ht="15.75" customHeight="1" x14ac:dyDescent="0.15">
      <c r="A125" s="209" t="s">
        <v>551</v>
      </c>
      <c r="B125" s="164" t="s">
        <v>378</v>
      </c>
      <c r="C125" s="209" t="s">
        <v>552</v>
      </c>
      <c r="D125" s="210">
        <f t="shared" si="11"/>
        <v>194.25</v>
      </c>
      <c r="E125" s="211">
        <v>185</v>
      </c>
      <c r="F125" s="212">
        <f t="shared" si="16"/>
        <v>163.80000000000001</v>
      </c>
      <c r="G125" s="219">
        <v>156</v>
      </c>
      <c r="H125" s="232"/>
      <c r="I125" s="215"/>
      <c r="J125" s="220"/>
      <c r="K125" s="220"/>
      <c r="L125" s="220"/>
      <c r="M125" s="220"/>
      <c r="N125" s="217"/>
      <c r="O125" s="220"/>
      <c r="P125" s="285" t="s">
        <v>553</v>
      </c>
      <c r="Q125" s="164"/>
      <c r="R125" s="209" t="s">
        <v>554</v>
      </c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</row>
    <row r="126" spans="1:29" ht="15.75" customHeight="1" x14ac:dyDescent="0.15">
      <c r="A126" s="225" t="s">
        <v>555</v>
      </c>
      <c r="B126" s="164" t="s">
        <v>378</v>
      </c>
      <c r="C126" s="225" t="s">
        <v>556</v>
      </c>
      <c r="D126" s="210">
        <f t="shared" si="11"/>
        <v>446.25</v>
      </c>
      <c r="E126" s="211">
        <f>G126*0.85</f>
        <v>425</v>
      </c>
      <c r="F126" s="212">
        <f t="shared" si="16"/>
        <v>525</v>
      </c>
      <c r="G126" s="227">
        <v>500</v>
      </c>
      <c r="H126" s="232"/>
      <c r="I126" s="217"/>
      <c r="J126" s="220"/>
      <c r="K126" s="220"/>
      <c r="L126" s="220"/>
      <c r="M126" s="220"/>
      <c r="N126" s="217"/>
      <c r="O126" s="220"/>
      <c r="P126" s="218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</row>
    <row r="127" spans="1:29" ht="15.75" customHeight="1" x14ac:dyDescent="0.15">
      <c r="A127" s="225" t="s">
        <v>557</v>
      </c>
      <c r="B127" s="164" t="s">
        <v>378</v>
      </c>
      <c r="C127" s="278" t="s">
        <v>558</v>
      </c>
      <c r="D127" s="210">
        <f t="shared" si="11"/>
        <v>237.3</v>
      </c>
      <c r="E127" s="286">
        <v>226</v>
      </c>
      <c r="F127" s="212">
        <f t="shared" si="16"/>
        <v>279.09000000000003</v>
      </c>
      <c r="G127" s="287">
        <v>265.8</v>
      </c>
      <c r="H127" s="232"/>
      <c r="I127" s="217"/>
      <c r="J127" s="220"/>
      <c r="K127" s="220"/>
      <c r="L127" s="220"/>
      <c r="M127" s="220"/>
      <c r="N127" s="217"/>
      <c r="O127" s="220"/>
      <c r="P127" s="218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</row>
    <row r="128" spans="1:29" ht="15.75" customHeight="1" x14ac:dyDescent="0.15">
      <c r="A128" s="209" t="s">
        <v>559</v>
      </c>
      <c r="B128" s="164" t="s">
        <v>560</v>
      </c>
      <c r="C128" s="209" t="s">
        <v>561</v>
      </c>
      <c r="D128" s="210">
        <f t="shared" si="11"/>
        <v>78.75</v>
      </c>
      <c r="E128" s="211">
        <v>75</v>
      </c>
      <c r="F128" s="212">
        <f t="shared" si="16"/>
        <v>97.65</v>
      </c>
      <c r="G128" s="219">
        <v>93</v>
      </c>
      <c r="H128" s="232"/>
      <c r="I128" s="217"/>
      <c r="J128" s="220"/>
      <c r="K128" s="220"/>
      <c r="L128" s="220"/>
      <c r="M128" s="220"/>
      <c r="N128" s="217"/>
      <c r="O128" s="220"/>
      <c r="P128" s="218" t="str">
        <f>HYPERLINK("http://www.mellanox.com/pdf/prod_cables/Hybrid_Passive_QSFP_4x_SFP_10Gbs_Cables.pdf","http://www.mellanox.com/pdf/prod_cables/Hybrid_Passive_QSFP_4x_SFP_10Gbs_Cables.pdf")</f>
        <v>http://www.mellanox.com/pdf/prod_cables/Hybrid_Passive_QSFP_4x_SFP_10Gbs_Cables.pdf</v>
      </c>
      <c r="Q128" s="164"/>
      <c r="R128" s="164" t="s">
        <v>562</v>
      </c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</row>
    <row r="129" spans="1:29" ht="15.75" customHeight="1" x14ac:dyDescent="0.15">
      <c r="A129" s="164" t="s">
        <v>563</v>
      </c>
      <c r="B129" s="164" t="s">
        <v>560</v>
      </c>
      <c r="C129" s="209" t="s">
        <v>564</v>
      </c>
      <c r="D129" s="210">
        <f t="shared" si="11"/>
        <v>54.6</v>
      </c>
      <c r="E129" s="211">
        <v>52</v>
      </c>
      <c r="F129" s="212">
        <f t="shared" si="16"/>
        <v>57.75</v>
      </c>
      <c r="G129" s="219">
        <v>55</v>
      </c>
      <c r="H129" s="232"/>
      <c r="I129" s="217"/>
      <c r="J129" s="220"/>
      <c r="K129" s="220"/>
      <c r="L129" s="220"/>
      <c r="M129" s="220"/>
      <c r="N129" s="217"/>
      <c r="O129" s="220"/>
      <c r="P129" s="243" t="s">
        <v>565</v>
      </c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</row>
    <row r="130" spans="1:29" ht="15.75" customHeight="1" x14ac:dyDescent="0.15">
      <c r="A130" s="209" t="s">
        <v>566</v>
      </c>
      <c r="B130" s="164" t="s">
        <v>560</v>
      </c>
      <c r="C130" s="209" t="s">
        <v>567</v>
      </c>
      <c r="D130" s="210">
        <f t="shared" si="11"/>
        <v>54.6</v>
      </c>
      <c r="E130" s="211">
        <v>52</v>
      </c>
      <c r="F130" s="212">
        <f t="shared" si="16"/>
        <v>57.75</v>
      </c>
      <c r="G130" s="219">
        <v>55</v>
      </c>
      <c r="H130" s="232"/>
      <c r="I130" s="217"/>
      <c r="J130" s="220"/>
      <c r="K130" s="220"/>
      <c r="L130" s="220"/>
      <c r="M130" s="220"/>
      <c r="N130" s="217"/>
      <c r="O130" s="220"/>
      <c r="P130" s="243" t="str">
        <f>HYPERLINK("http://www.mellanoxstore.com/products/mellanox-mc2206130-001-passive-copper-cable-ib-qdr-fdr10-40gb-s-qsfp-1m.html","http://www.mellanoxstore.com/products/mellanox-mc2206130-001-passive-copper-cable-ib-qdr-fdr10-40gb-s-qsfp-1m.html")</f>
        <v>http://www.mellanoxstore.com/products/mellanox-mc2206130-001-passive-copper-cable-ib-qdr-fdr10-40gb-s-qsfp-1m.html</v>
      </c>
      <c r="Q130" s="164"/>
      <c r="R130" s="164" t="s">
        <v>568</v>
      </c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</row>
    <row r="131" spans="1:29" ht="15.75" customHeight="1" x14ac:dyDescent="0.15">
      <c r="A131" s="164" t="s">
        <v>569</v>
      </c>
      <c r="B131" s="164" t="s">
        <v>560</v>
      </c>
      <c r="C131" s="209" t="s">
        <v>570</v>
      </c>
      <c r="D131" s="210">
        <f t="shared" si="11"/>
        <v>33.6</v>
      </c>
      <c r="E131" s="211">
        <v>32</v>
      </c>
      <c r="F131" s="212">
        <f t="shared" si="16"/>
        <v>42</v>
      </c>
      <c r="G131" s="219">
        <v>40</v>
      </c>
      <c r="H131" s="232"/>
      <c r="I131" s="217"/>
      <c r="J131" s="220"/>
      <c r="K131" s="220"/>
      <c r="L131" s="220"/>
      <c r="M131" s="220"/>
      <c r="N131" s="217"/>
      <c r="O131" s="220"/>
      <c r="P131" s="243" t="s">
        <v>571</v>
      </c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</row>
    <row r="132" spans="1:29" ht="15.75" customHeight="1" x14ac:dyDescent="0.15">
      <c r="A132" s="226" t="s">
        <v>572</v>
      </c>
      <c r="B132" s="226" t="s">
        <v>560</v>
      </c>
      <c r="C132" s="225" t="s">
        <v>573</v>
      </c>
      <c r="D132" s="210">
        <f t="shared" si="11"/>
        <v>129.41249999999999</v>
      </c>
      <c r="E132" s="211">
        <f>G132*0.85</f>
        <v>123.25</v>
      </c>
      <c r="F132" s="212">
        <f t="shared" si="16"/>
        <v>152.25</v>
      </c>
      <c r="G132" s="227">
        <v>145</v>
      </c>
      <c r="H132" s="232"/>
      <c r="I132" s="164"/>
      <c r="J132" s="234"/>
      <c r="K132" s="234"/>
      <c r="L132" s="234"/>
      <c r="M132" s="234"/>
      <c r="N132" s="164"/>
      <c r="O132" s="234"/>
      <c r="P132" s="231" t="s">
        <v>574</v>
      </c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</row>
    <row r="133" spans="1:29" ht="15.75" customHeight="1" x14ac:dyDescent="0.15">
      <c r="A133" s="164" t="s">
        <v>575</v>
      </c>
      <c r="B133" s="164" t="s">
        <v>378</v>
      </c>
      <c r="C133" s="209" t="s">
        <v>576</v>
      </c>
      <c r="D133" s="210">
        <f t="shared" si="11"/>
        <v>13.797000000000001</v>
      </c>
      <c r="E133" s="211">
        <v>13.14</v>
      </c>
      <c r="F133" s="212">
        <f t="shared" si="16"/>
        <v>12.600000000000001</v>
      </c>
      <c r="G133" s="219">
        <v>12</v>
      </c>
      <c r="H133" s="232"/>
      <c r="I133" s="164"/>
      <c r="J133" s="234"/>
      <c r="K133" s="234"/>
      <c r="L133" s="234"/>
      <c r="M133" s="234"/>
      <c r="N133" s="164"/>
      <c r="O133" s="234"/>
      <c r="P133" s="243" t="s">
        <v>577</v>
      </c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</row>
    <row r="134" spans="1:29" ht="15.75" customHeight="1" x14ac:dyDescent="0.15">
      <c r="A134" s="209" t="s">
        <v>578</v>
      </c>
      <c r="B134" s="209" t="s">
        <v>378</v>
      </c>
      <c r="C134" s="288" t="s">
        <v>579</v>
      </c>
      <c r="D134" s="210">
        <f t="shared" si="11"/>
        <v>215.25</v>
      </c>
      <c r="E134" s="211">
        <v>205</v>
      </c>
      <c r="F134" s="212">
        <f t="shared" si="16"/>
        <v>0</v>
      </c>
      <c r="G134" s="219">
        <v>0</v>
      </c>
      <c r="H134" s="232"/>
      <c r="I134" s="233"/>
      <c r="J134" s="234"/>
      <c r="K134" s="234"/>
      <c r="L134" s="234"/>
      <c r="M134" s="234"/>
      <c r="N134" s="164"/>
      <c r="O134" s="23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</row>
    <row r="135" spans="1:29" ht="15.75" customHeight="1" x14ac:dyDescent="0.15">
      <c r="A135" s="209" t="s">
        <v>580</v>
      </c>
      <c r="B135" s="164" t="s">
        <v>378</v>
      </c>
      <c r="C135" s="209" t="s">
        <v>581</v>
      </c>
      <c r="D135" s="210">
        <f t="shared" si="11"/>
        <v>556.5</v>
      </c>
      <c r="E135" s="211">
        <v>530</v>
      </c>
      <c r="F135" s="212">
        <f t="shared" si="16"/>
        <v>672</v>
      </c>
      <c r="G135" s="219">
        <v>640</v>
      </c>
      <c r="H135" s="232"/>
      <c r="I135" s="164"/>
      <c r="J135" s="289"/>
      <c r="K135" s="289"/>
      <c r="L135" s="289"/>
      <c r="M135" s="289"/>
      <c r="N135" s="233"/>
      <c r="O135" s="289"/>
      <c r="P135" s="164"/>
      <c r="Q135" s="164"/>
      <c r="R135" s="164" t="s">
        <v>582</v>
      </c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</row>
    <row r="136" spans="1:29" ht="15.75" customHeight="1" x14ac:dyDescent="0.15">
      <c r="A136" s="209" t="s">
        <v>583</v>
      </c>
      <c r="B136" s="164" t="s">
        <v>378</v>
      </c>
      <c r="C136" s="209" t="s">
        <v>584</v>
      </c>
      <c r="D136" s="210">
        <f t="shared" si="11"/>
        <v>1364.3700000000001</v>
      </c>
      <c r="E136" s="211">
        <v>1299.4000000000001</v>
      </c>
      <c r="F136" s="212">
        <f t="shared" si="16"/>
        <v>1615.95</v>
      </c>
      <c r="G136" s="219">
        <v>1539</v>
      </c>
      <c r="H136" s="232"/>
      <c r="I136" s="215"/>
      <c r="J136" s="220"/>
      <c r="K136" s="220"/>
      <c r="L136" s="220"/>
      <c r="M136" s="220"/>
      <c r="N136" s="215"/>
      <c r="O136" s="220"/>
      <c r="P136" s="290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</row>
    <row r="137" spans="1:29" ht="15.75" customHeight="1" x14ac:dyDescent="0.15">
      <c r="A137" s="209" t="s">
        <v>585</v>
      </c>
      <c r="B137" s="164" t="s">
        <v>378</v>
      </c>
      <c r="C137" s="278" t="s">
        <v>586</v>
      </c>
      <c r="D137" s="210">
        <f t="shared" si="11"/>
        <v>607.95000000000005</v>
      </c>
      <c r="E137" s="286">
        <v>579</v>
      </c>
      <c r="F137" s="212">
        <f t="shared" si="16"/>
        <v>715.05000000000007</v>
      </c>
      <c r="G137" s="287">
        <v>681</v>
      </c>
      <c r="H137" s="232"/>
      <c r="I137" s="215"/>
      <c r="J137" s="220"/>
      <c r="K137" s="220"/>
      <c r="L137" s="220"/>
      <c r="M137" s="220"/>
      <c r="N137" s="215"/>
      <c r="O137" s="220"/>
      <c r="P137" s="290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</row>
    <row r="138" spans="1:29" ht="15.75" customHeight="1" x14ac:dyDescent="0.15">
      <c r="A138" s="164" t="s">
        <v>587</v>
      </c>
      <c r="B138" s="209" t="s">
        <v>304</v>
      </c>
      <c r="C138" s="288" t="s">
        <v>588</v>
      </c>
      <c r="D138" s="210">
        <f t="shared" si="11"/>
        <v>0</v>
      </c>
      <c r="E138" s="211">
        <v>0</v>
      </c>
      <c r="F138" s="212">
        <f t="shared" si="16"/>
        <v>947.10000000000014</v>
      </c>
      <c r="G138" s="219">
        <f>820*1.1</f>
        <v>902.00000000000011</v>
      </c>
      <c r="H138" s="232"/>
      <c r="I138" s="215">
        <v>6</v>
      </c>
      <c r="J138" s="220">
        <v>2</v>
      </c>
      <c r="K138" s="220"/>
      <c r="L138" s="220"/>
      <c r="M138" s="220"/>
      <c r="N138" s="215"/>
      <c r="O138" s="220"/>
      <c r="P138" s="244" t="str">
        <f>HYPERLINK("http://www.samsung.com/global/business/semiconductor/minisite/SSD/global/html/ssdpm863/specifications.html","http://www.samsung.com/global/business/semiconductor/minisite/SSD/global/html/ssdpm863/specifications.html")</f>
        <v>http://www.samsung.com/global/business/semiconductor/minisite/SSD/global/html/ssdpm863/specifications.html</v>
      </c>
      <c r="Q138" s="164"/>
      <c r="R138" s="164" t="s">
        <v>589</v>
      </c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</row>
    <row r="139" spans="1:29" ht="15.75" customHeight="1" x14ac:dyDescent="0.15">
      <c r="A139" s="164" t="s">
        <v>590</v>
      </c>
      <c r="B139" s="209" t="s">
        <v>479</v>
      </c>
      <c r="C139" s="288" t="s">
        <v>591</v>
      </c>
      <c r="D139" s="210">
        <f t="shared" si="11"/>
        <v>0</v>
      </c>
      <c r="E139" s="211">
        <v>0</v>
      </c>
      <c r="F139" s="212">
        <f t="shared" si="16"/>
        <v>2100</v>
      </c>
      <c r="G139" s="219">
        <v>2000</v>
      </c>
      <c r="H139" s="232"/>
      <c r="I139" s="215">
        <v>20</v>
      </c>
      <c r="J139" s="220">
        <v>2</v>
      </c>
      <c r="K139" s="220"/>
      <c r="L139" s="220"/>
      <c r="M139" s="220"/>
      <c r="N139" s="215"/>
      <c r="O139" s="220"/>
      <c r="P139" s="164"/>
      <c r="Q139" s="164"/>
      <c r="R139" s="164" t="s">
        <v>592</v>
      </c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</row>
    <row r="140" spans="1:29" ht="15.75" customHeight="1" x14ac:dyDescent="0.15">
      <c r="A140" s="164" t="s">
        <v>593</v>
      </c>
      <c r="B140" s="209" t="s">
        <v>232</v>
      </c>
      <c r="C140" s="291" t="s">
        <v>594</v>
      </c>
      <c r="D140" s="210">
        <f t="shared" si="11"/>
        <v>0</v>
      </c>
      <c r="E140" s="211">
        <v>0</v>
      </c>
      <c r="F140" s="212">
        <f t="shared" si="16"/>
        <v>3675</v>
      </c>
      <c r="G140" s="219">
        <v>3500</v>
      </c>
      <c r="H140" s="214">
        <v>2</v>
      </c>
      <c r="I140" s="215">
        <v>100</v>
      </c>
      <c r="J140" s="220"/>
      <c r="K140" s="220"/>
      <c r="L140" s="220"/>
      <c r="M140" s="220"/>
      <c r="N140" s="217"/>
      <c r="O140" s="220">
        <v>2</v>
      </c>
      <c r="P140" s="218" t="str">
        <f>HYPERLINK("http://www.supermicro.com.tw/products/system/2u/2028/SYS-2028U-TN24R4T_.cfm","http://www.supermicro.com.tw/products/system/2u/2028/SYS-2028U-TN24R4T_.cfm")</f>
        <v>http://www.supermicro.com.tw/products/system/2u/2028/SYS-2028U-TN24R4T_.cfm</v>
      </c>
      <c r="Q140" s="164"/>
      <c r="R140" s="164" t="s">
        <v>595</v>
      </c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</row>
    <row r="141" spans="1:29" ht="15.75" customHeight="1" x14ac:dyDescent="0.15">
      <c r="A141" s="164" t="s">
        <v>596</v>
      </c>
      <c r="B141" s="164" t="s">
        <v>76</v>
      </c>
      <c r="C141" s="288" t="s">
        <v>597</v>
      </c>
      <c r="D141" s="210">
        <f t="shared" si="11"/>
        <v>0</v>
      </c>
      <c r="E141" s="211">
        <v>0</v>
      </c>
      <c r="F141" s="212">
        <f t="shared" si="16"/>
        <v>630</v>
      </c>
      <c r="G141" s="219">
        <v>600</v>
      </c>
      <c r="H141" s="214">
        <v>0</v>
      </c>
      <c r="I141" s="215">
        <v>6</v>
      </c>
      <c r="J141" s="220"/>
      <c r="K141" s="220"/>
      <c r="L141" s="220"/>
      <c r="M141" s="220"/>
      <c r="N141" s="217"/>
      <c r="O141" s="220"/>
      <c r="P141" s="218" t="str">
        <f t="shared" ref="P141:P142" si="18">HYPERLINK("http://www.racktivity.com/products/rack-power-management","http://www.racktivity.com/products/rack-power-management")</f>
        <v>http://www.racktivity.com/products/rack-power-management</v>
      </c>
      <c r="Q141" s="164"/>
      <c r="R141" s="164" t="s">
        <v>598</v>
      </c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</row>
    <row r="142" spans="1:29" ht="15.75" customHeight="1" x14ac:dyDescent="0.15">
      <c r="A142" s="164" t="s">
        <v>599</v>
      </c>
      <c r="B142" s="164" t="s">
        <v>76</v>
      </c>
      <c r="C142" s="288" t="s">
        <v>600</v>
      </c>
      <c r="D142" s="210">
        <f t="shared" si="11"/>
        <v>0</v>
      </c>
      <c r="E142" s="211">
        <v>0</v>
      </c>
      <c r="F142" s="212">
        <f t="shared" si="16"/>
        <v>210</v>
      </c>
      <c r="G142" s="219">
        <v>200</v>
      </c>
      <c r="H142" s="214">
        <v>1</v>
      </c>
      <c r="I142" s="215">
        <v>6</v>
      </c>
      <c r="J142" s="220"/>
      <c r="K142" s="220"/>
      <c r="L142" s="220"/>
      <c r="M142" s="220"/>
      <c r="N142" s="217"/>
      <c r="O142" s="220"/>
      <c r="P142" s="218" t="str">
        <f t="shared" si="18"/>
        <v>http://www.racktivity.com/products/rack-power-management</v>
      </c>
      <c r="Q142" s="164"/>
      <c r="R142" s="164" t="s">
        <v>601</v>
      </c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</row>
    <row r="143" spans="1:29" ht="15.75" customHeight="1" x14ac:dyDescent="0.15">
      <c r="A143" s="164" t="s">
        <v>602</v>
      </c>
      <c r="B143" s="164" t="s">
        <v>560</v>
      </c>
      <c r="C143" s="288" t="s">
        <v>603</v>
      </c>
      <c r="D143" s="210">
        <f t="shared" si="11"/>
        <v>1.1550000000000002</v>
      </c>
      <c r="E143" s="211">
        <v>1.1000000000000001</v>
      </c>
      <c r="F143" s="212">
        <f t="shared" si="16"/>
        <v>1.05</v>
      </c>
      <c r="G143" s="219">
        <v>1</v>
      </c>
      <c r="H143" s="232"/>
      <c r="I143" s="164"/>
      <c r="J143" s="233"/>
      <c r="K143" s="164"/>
      <c r="L143" s="164"/>
      <c r="M143" s="164"/>
      <c r="N143" s="233"/>
      <c r="O143" s="233"/>
      <c r="P143" s="164"/>
      <c r="Q143" s="164"/>
      <c r="R143" s="164" t="s">
        <v>604</v>
      </c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</row>
    <row r="144" spans="1:29" ht="15.75" customHeight="1" x14ac:dyDescent="0.15">
      <c r="A144" s="164" t="s">
        <v>605</v>
      </c>
      <c r="B144" s="164" t="s">
        <v>560</v>
      </c>
      <c r="C144" s="288" t="s">
        <v>606</v>
      </c>
      <c r="D144" s="210">
        <f t="shared" si="11"/>
        <v>1.6800000000000002</v>
      </c>
      <c r="E144" s="211">
        <v>1.6</v>
      </c>
      <c r="F144" s="212">
        <f t="shared" si="16"/>
        <v>1.47</v>
      </c>
      <c r="G144" s="219">
        <v>1.4</v>
      </c>
      <c r="H144" s="232"/>
      <c r="I144" s="164"/>
      <c r="J144" s="233"/>
      <c r="K144" s="164"/>
      <c r="L144" s="164"/>
      <c r="M144" s="164"/>
      <c r="N144" s="233"/>
      <c r="O144" s="233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</row>
    <row r="145" spans="1:29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</row>
    <row r="146" spans="1:29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</row>
    <row r="147" spans="1:29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</row>
    <row r="148" spans="1:29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</row>
    <row r="149" spans="1:29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</row>
    <row r="150" spans="1:29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</row>
    <row r="151" spans="1:29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</row>
    <row r="152" spans="1:29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</row>
    <row r="153" spans="1:29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</row>
    <row r="154" spans="1:29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</row>
    <row r="155" spans="1:29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</row>
    <row r="156" spans="1:29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</row>
    <row r="157" spans="1:29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</row>
    <row r="158" spans="1:29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</row>
    <row r="159" spans="1:29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</row>
    <row r="160" spans="1:29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</row>
    <row r="161" spans="1:29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</row>
    <row r="162" spans="1:29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</row>
    <row r="163" spans="1:29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</row>
    <row r="164" spans="1:29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</row>
    <row r="165" spans="1:29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</row>
    <row r="166" spans="1:29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</row>
    <row r="167" spans="1:29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</row>
    <row r="168" spans="1:29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</row>
    <row r="169" spans="1:29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</row>
    <row r="170" spans="1:29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</row>
    <row r="171" spans="1:29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</row>
    <row r="172" spans="1:29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</row>
    <row r="173" spans="1:29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</row>
    <row r="174" spans="1:29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</row>
    <row r="175" spans="1:29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</row>
    <row r="176" spans="1:29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</row>
    <row r="177" spans="1:29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</row>
    <row r="178" spans="1:29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</row>
    <row r="179" spans="1:29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</row>
    <row r="180" spans="1:29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</row>
    <row r="181" spans="1:29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</row>
    <row r="182" spans="1:29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</row>
    <row r="183" spans="1:29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</row>
    <row r="184" spans="1:29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</row>
    <row r="185" spans="1:29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</row>
    <row r="186" spans="1:29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</row>
    <row r="187" spans="1:29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</row>
    <row r="188" spans="1:29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</row>
    <row r="189" spans="1:29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</row>
    <row r="190" spans="1:29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</row>
    <row r="191" spans="1:29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</row>
    <row r="192" spans="1:29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</row>
    <row r="193" spans="1:29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</row>
    <row r="194" spans="1:29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</row>
    <row r="195" spans="1:29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</row>
    <row r="196" spans="1:29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</row>
    <row r="197" spans="1:29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</row>
    <row r="198" spans="1:29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</row>
    <row r="199" spans="1:29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</row>
    <row r="200" spans="1:29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</row>
    <row r="201" spans="1:29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</row>
    <row r="202" spans="1:29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</row>
    <row r="203" spans="1:29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</row>
    <row r="204" spans="1:29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</row>
    <row r="205" spans="1:29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</row>
    <row r="206" spans="1:29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</row>
    <row r="207" spans="1:29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</row>
    <row r="208" spans="1:29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</row>
    <row r="209" spans="1:29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</row>
    <row r="210" spans="1:29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</row>
    <row r="211" spans="1:29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</row>
    <row r="212" spans="1:29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</row>
    <row r="213" spans="1:29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</row>
    <row r="214" spans="1:29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</row>
    <row r="215" spans="1:29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</row>
    <row r="216" spans="1:29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</row>
    <row r="217" spans="1:29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</row>
    <row r="218" spans="1:29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</row>
    <row r="219" spans="1:29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</row>
    <row r="220" spans="1:29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</row>
    <row r="221" spans="1:29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</row>
    <row r="222" spans="1:29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</row>
    <row r="223" spans="1:29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</row>
    <row r="224" spans="1:29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</row>
    <row r="225" spans="1:29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</row>
    <row r="226" spans="1:29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</row>
    <row r="227" spans="1:29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</row>
    <row r="228" spans="1:29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</row>
    <row r="229" spans="1:29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</row>
    <row r="230" spans="1:29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</row>
    <row r="231" spans="1:29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</row>
    <row r="232" spans="1:29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</row>
    <row r="233" spans="1:29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</row>
    <row r="234" spans="1:29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</row>
    <row r="235" spans="1:29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</row>
    <row r="236" spans="1:29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</row>
    <row r="237" spans="1:29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</row>
    <row r="238" spans="1:29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</row>
    <row r="239" spans="1:29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</row>
    <row r="240" spans="1:29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</row>
    <row r="241" spans="1:29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</row>
    <row r="242" spans="1:29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</row>
    <row r="243" spans="1:29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</row>
    <row r="244" spans="1:29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</row>
    <row r="245" spans="1:29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</row>
    <row r="246" spans="1:29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</row>
    <row r="247" spans="1:29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</row>
    <row r="248" spans="1:29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</row>
    <row r="249" spans="1:29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</row>
    <row r="250" spans="1:29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</row>
    <row r="251" spans="1:29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</row>
    <row r="252" spans="1:29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</row>
    <row r="253" spans="1:29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</row>
    <row r="254" spans="1:29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</row>
    <row r="255" spans="1:29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</row>
    <row r="256" spans="1:29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</row>
    <row r="257" spans="1:29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</row>
    <row r="258" spans="1:29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</row>
    <row r="259" spans="1:29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</row>
    <row r="260" spans="1:29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</row>
    <row r="261" spans="1:29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</row>
    <row r="262" spans="1:29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</row>
    <row r="263" spans="1:29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</row>
    <row r="264" spans="1:29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</row>
    <row r="265" spans="1:29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</row>
    <row r="266" spans="1:29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</row>
    <row r="267" spans="1:29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</row>
    <row r="268" spans="1:29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</row>
    <row r="269" spans="1:29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</row>
    <row r="270" spans="1:29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</row>
    <row r="271" spans="1:29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144"/>
      <c r="S271" s="144"/>
      <c r="T271" s="144"/>
      <c r="U271" s="144"/>
      <c r="V271" s="144"/>
      <c r="W271" s="144"/>
      <c r="X271" s="144"/>
      <c r="Y271" s="144"/>
      <c r="Z271" s="144"/>
      <c r="AA271" s="144"/>
      <c r="AB271" s="144"/>
      <c r="AC271" s="144"/>
    </row>
    <row r="272" spans="1:29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</row>
    <row r="273" spans="1:29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</row>
    <row r="274" spans="1:29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</row>
    <row r="275" spans="1:29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</row>
    <row r="276" spans="1:29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</row>
    <row r="277" spans="1:29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</row>
    <row r="278" spans="1:29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</row>
    <row r="279" spans="1:29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</row>
    <row r="280" spans="1:29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</row>
    <row r="281" spans="1:29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</row>
    <row r="282" spans="1:29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</row>
    <row r="283" spans="1:29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</row>
    <row r="284" spans="1:29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</row>
    <row r="285" spans="1:29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</row>
    <row r="286" spans="1:29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</row>
    <row r="287" spans="1:29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</row>
    <row r="288" spans="1:29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</row>
    <row r="289" spans="1:29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</row>
    <row r="290" spans="1:29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</row>
    <row r="291" spans="1:29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144"/>
      <c r="S291" s="144"/>
      <c r="T291" s="144"/>
      <c r="U291" s="144"/>
      <c r="V291" s="144"/>
      <c r="W291" s="144"/>
      <c r="X291" s="144"/>
      <c r="Y291" s="144"/>
      <c r="Z291" s="144"/>
      <c r="AA291" s="144"/>
      <c r="AB291" s="144"/>
      <c r="AC291" s="144"/>
    </row>
    <row r="292" spans="1:29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</row>
    <row r="293" spans="1:29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</row>
    <row r="294" spans="1:29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</row>
    <row r="295" spans="1:29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</row>
    <row r="296" spans="1:29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</row>
    <row r="297" spans="1:29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</row>
    <row r="298" spans="1:29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</row>
    <row r="299" spans="1:29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</row>
    <row r="300" spans="1:29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</row>
    <row r="301" spans="1:29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</row>
    <row r="302" spans="1:29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</row>
    <row r="303" spans="1:29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</row>
    <row r="304" spans="1:29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</row>
    <row r="305" spans="1:29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</row>
    <row r="306" spans="1:29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</row>
    <row r="307" spans="1:29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</row>
    <row r="308" spans="1:29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</row>
    <row r="309" spans="1:29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</row>
    <row r="310" spans="1:29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</row>
    <row r="311" spans="1:29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</row>
    <row r="312" spans="1:29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</row>
    <row r="313" spans="1:29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</row>
    <row r="314" spans="1:29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</row>
    <row r="315" spans="1:29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</row>
    <row r="316" spans="1:29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</row>
    <row r="317" spans="1:29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</row>
    <row r="318" spans="1:29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</row>
    <row r="319" spans="1:29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</row>
    <row r="320" spans="1:29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</row>
    <row r="321" spans="1:29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</row>
    <row r="322" spans="1:29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144"/>
      <c r="S322" s="144"/>
      <c r="T322" s="144"/>
      <c r="U322" s="144"/>
      <c r="V322" s="144"/>
      <c r="W322" s="144"/>
      <c r="X322" s="144"/>
      <c r="Y322" s="144"/>
      <c r="Z322" s="144"/>
      <c r="AA322" s="144"/>
      <c r="AB322" s="144"/>
      <c r="AC322" s="144"/>
    </row>
    <row r="323" spans="1:29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</row>
    <row r="324" spans="1:29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</row>
    <row r="325" spans="1:29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</row>
    <row r="326" spans="1:29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</row>
    <row r="327" spans="1:29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</row>
    <row r="328" spans="1:29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</row>
    <row r="329" spans="1:29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</row>
    <row r="330" spans="1:29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</row>
    <row r="331" spans="1:29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</row>
    <row r="332" spans="1:29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</row>
    <row r="333" spans="1:29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</row>
    <row r="334" spans="1:29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</row>
    <row r="335" spans="1:29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</row>
    <row r="336" spans="1:29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</row>
    <row r="337" spans="1:29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</row>
    <row r="338" spans="1:29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</row>
    <row r="339" spans="1:29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</row>
    <row r="340" spans="1:29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</row>
    <row r="341" spans="1:29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</row>
    <row r="342" spans="1:29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</row>
    <row r="343" spans="1:29" ht="15.75" customHeight="1" x14ac:dyDescent="0.15"/>
    <row r="344" spans="1:29" ht="15.75" customHeight="1" x14ac:dyDescent="0.15"/>
    <row r="345" spans="1:29" ht="15.75" customHeight="1" x14ac:dyDescent="0.15"/>
    <row r="346" spans="1:29" ht="15.75" customHeight="1" x14ac:dyDescent="0.15"/>
    <row r="347" spans="1:29" ht="15.75" customHeight="1" x14ac:dyDescent="0.15"/>
    <row r="348" spans="1:29" ht="15.75" customHeight="1" x14ac:dyDescent="0.15"/>
    <row r="349" spans="1:29" ht="15.75" customHeight="1" x14ac:dyDescent="0.15"/>
    <row r="350" spans="1:29" ht="15.75" customHeight="1" x14ac:dyDescent="0.15"/>
    <row r="351" spans="1:29" ht="15.75" customHeight="1" x14ac:dyDescent="0.15"/>
    <row r="352" spans="1:29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  <row r="1026" ht="15.75" customHeight="1" x14ac:dyDescent="0.15"/>
    <row r="1027" ht="15.75" customHeight="1" x14ac:dyDescent="0.15"/>
    <row r="1028" ht="15.75" customHeight="1" x14ac:dyDescent="0.15"/>
    <row r="1029" ht="15.75" customHeight="1" x14ac:dyDescent="0.15"/>
    <row r="1030" ht="15.75" customHeight="1" x14ac:dyDescent="0.15"/>
  </sheetData>
  <autoFilter ref="A1:R144" xr:uid="{00000000-0009-0000-0000-000005000000}">
    <filterColumn colId="0">
      <filters>
        <filter val="."/>
        <filter val="GTC100001"/>
        <filter val="GTC100002"/>
        <filter val="GTC100003"/>
        <filter val="GTC100005"/>
        <filter val="GTC100006"/>
        <filter val="GTC100007"/>
        <filter val="GTC100008"/>
        <filter val="GTC100009"/>
        <filter val="GTC100010"/>
        <filter val="GTC100011"/>
        <filter val="GTC100012"/>
        <filter val="GTC110001"/>
        <filter val="GTC110004"/>
        <filter val="GTC110005"/>
        <filter val="GTC110006"/>
        <filter val="GTC110007"/>
        <filter val="GTC110008"/>
        <filter val="GTC110009"/>
        <filter val="GTC110010"/>
        <filter val="GTC110011"/>
        <filter val="GTC110012"/>
        <filter val="GTC120001"/>
        <filter val="GTC120003"/>
        <filter val="GTC120006"/>
        <filter val="GTC120009"/>
        <filter val="GTC120010"/>
        <filter val="GTC120011"/>
        <filter val="GTC120012"/>
        <filter val="GTC120013"/>
        <filter val="GTC120015"/>
        <filter val="GTC130002"/>
        <filter val="GTC130005"/>
        <filter val="GTC130006"/>
        <filter val="GTC130007"/>
        <filter val="GTC130012"/>
        <filter val="GTC130013"/>
        <filter val="GTC130016"/>
        <filter val="GTC130017"/>
        <filter val="GTC130018"/>
        <filter val="GTC130019"/>
        <filter val="GTC130020"/>
        <filter val="GTC130021"/>
        <filter val="GTC130022"/>
        <filter val="GTC130025"/>
        <filter val="GTC130026"/>
        <filter val="GTC130027"/>
        <filter val="GTC130028"/>
        <filter val="GTC160001"/>
        <filter val="GTC160005"/>
        <filter val="GTC160006"/>
        <filter val="GTC160014"/>
        <filter val="GTC160015"/>
        <filter val="GTC160016"/>
        <filter val="GTC160017"/>
        <filter val="GTC160018"/>
        <filter val="GTC160019"/>
        <filter val="GTC160020"/>
        <filter val="GTC160021"/>
        <filter val="GTC160023"/>
        <filter val="GTC160024"/>
        <filter val="GTC160025"/>
        <filter val="GTC160026"/>
        <filter val="GTC160027"/>
        <filter val="GTC200001"/>
        <filter val="GTC200002"/>
        <filter val="GTC200005"/>
        <filter val="GTC220022"/>
        <filter val="GTC220024"/>
        <filter val="GTC220025"/>
        <filter val="GTC220026"/>
        <filter val="GTC220029"/>
        <filter val="GTC220050"/>
        <filter val="GTC230005"/>
        <filter val="GTC240001"/>
        <filter val="GTC240002"/>
        <filter val="GTC240003"/>
        <filter val="KEEP - SSD2000"/>
        <filter val="KEEP - SSD2000_NVMe"/>
        <filter val="KEEP - STOR_NVME"/>
        <filter val="PATCH"/>
        <filter val="PDU_24P"/>
        <filter val="PDU_8P"/>
        <filter val="POWER"/>
      </filters>
    </filterColumn>
  </autoFilter>
  <hyperlinks>
    <hyperlink ref="P63" r:id="rId1" xr:uid="{00000000-0004-0000-0500-000000000000}"/>
    <hyperlink ref="P67" r:id="rId2" xr:uid="{00000000-0004-0000-0500-000001000000}"/>
    <hyperlink ref="P68" r:id="rId3" xr:uid="{00000000-0004-0000-0500-000002000000}"/>
    <hyperlink ref="P69" r:id="rId4" xr:uid="{00000000-0004-0000-0500-000003000000}"/>
    <hyperlink ref="P70" r:id="rId5" xr:uid="{00000000-0004-0000-0500-000004000000}"/>
    <hyperlink ref="P71" r:id="rId6" xr:uid="{00000000-0004-0000-0500-000005000000}"/>
    <hyperlink ref="P72" r:id="rId7" xr:uid="{00000000-0004-0000-0500-000006000000}"/>
    <hyperlink ref="P78" r:id="rId8" xr:uid="{00000000-0004-0000-0500-000007000000}"/>
    <hyperlink ref="P79" r:id="rId9" xr:uid="{00000000-0004-0000-0500-000008000000}"/>
    <hyperlink ref="P80" r:id="rId10" xr:uid="{00000000-0004-0000-0500-000009000000}"/>
    <hyperlink ref="P88" r:id="rId11" xr:uid="{00000000-0004-0000-0500-00000A000000}"/>
    <hyperlink ref="P89" r:id="rId12" xr:uid="{00000000-0004-0000-0500-00000B000000}"/>
    <hyperlink ref="P90" r:id="rId13" xr:uid="{00000000-0004-0000-0500-00000C000000}"/>
    <hyperlink ref="P105" r:id="rId14" xr:uid="{00000000-0004-0000-0500-00000D000000}"/>
    <hyperlink ref="P106" r:id="rId15" xr:uid="{00000000-0004-0000-0500-00000E000000}"/>
    <hyperlink ref="P107" r:id="rId16" xr:uid="{00000000-0004-0000-0500-00000F000000}"/>
    <hyperlink ref="P108" r:id="rId17" xr:uid="{00000000-0004-0000-0500-000010000000}"/>
    <hyperlink ref="P112" r:id="rId18" xr:uid="{00000000-0004-0000-0500-000011000000}"/>
    <hyperlink ref="P113" r:id="rId19" xr:uid="{00000000-0004-0000-0500-000012000000}"/>
    <hyperlink ref="P114" r:id="rId20" xr:uid="{00000000-0004-0000-0500-000013000000}"/>
    <hyperlink ref="P115" r:id="rId21" xr:uid="{00000000-0004-0000-0500-000014000000}"/>
    <hyperlink ref="P116" r:id="rId22" xr:uid="{00000000-0004-0000-0500-000015000000}"/>
    <hyperlink ref="P123" r:id="rId23" xr:uid="{00000000-0004-0000-0500-000016000000}"/>
    <hyperlink ref="P124" r:id="rId24" xr:uid="{00000000-0004-0000-0500-000017000000}"/>
    <hyperlink ref="P125" r:id="rId25" xr:uid="{00000000-0004-0000-0500-000018000000}"/>
    <hyperlink ref="P129" r:id="rId26" xr:uid="{00000000-0004-0000-0500-000019000000}"/>
    <hyperlink ref="P131" r:id="rId27" xr:uid="{00000000-0004-0000-0500-00001A000000}"/>
    <hyperlink ref="P132" r:id="rId28" xr:uid="{00000000-0004-0000-0500-00001B000000}"/>
    <hyperlink ref="P133" r:id="rId29" xr:uid="{00000000-0004-0000-0500-00001C000000}"/>
  </hyperlinks>
  <pageMargins left="0.7" right="0.7" top="0.75" bottom="0.75" header="0.3" footer="0.3"/>
  <legacyDrawing r:id="rId3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0"/>
  <sheetViews>
    <sheetView workbookViewId="0"/>
  </sheetViews>
  <sheetFormatPr baseColWidth="10" defaultColWidth="14.5" defaultRowHeight="15" customHeight="1" x14ac:dyDescent="0.15"/>
  <cols>
    <col min="1" max="1" width="3.1640625" customWidth="1"/>
    <col min="2" max="2" width="18.83203125" customWidth="1"/>
    <col min="3" max="3" width="34.33203125" customWidth="1"/>
    <col min="4" max="4" width="9.5" customWidth="1"/>
    <col min="5" max="5" width="10.1640625" customWidth="1"/>
    <col min="6" max="6" width="10.83203125" customWidth="1"/>
    <col min="7" max="8" width="10.5" customWidth="1"/>
    <col min="9" max="12" width="9.5" customWidth="1"/>
    <col min="13" max="13" width="11.5" customWidth="1"/>
    <col min="14" max="14" width="9.5" customWidth="1"/>
    <col min="15" max="15" width="11.1640625" customWidth="1"/>
    <col min="16" max="16" width="8.5" customWidth="1"/>
    <col min="17" max="18" width="14.5" customWidth="1"/>
  </cols>
  <sheetData>
    <row r="1" spans="1:26" ht="15.75" customHeight="1" x14ac:dyDescent="0.15">
      <c r="A1" s="162"/>
      <c r="B1" s="162"/>
      <c r="C1" s="162"/>
      <c r="D1" s="163" t="s">
        <v>242</v>
      </c>
      <c r="E1" s="163" t="s">
        <v>243</v>
      </c>
      <c r="F1" s="163" t="s">
        <v>244</v>
      </c>
      <c r="G1" s="163" t="s">
        <v>245</v>
      </c>
      <c r="H1" s="163" t="s">
        <v>246</v>
      </c>
      <c r="I1" s="163" t="s">
        <v>247</v>
      </c>
      <c r="J1" s="163" t="s">
        <v>248</v>
      </c>
      <c r="K1" s="163" t="s">
        <v>249</v>
      </c>
      <c r="L1" s="163" t="s">
        <v>251</v>
      </c>
      <c r="M1" s="163" t="s">
        <v>252</v>
      </c>
      <c r="N1" s="163" t="s">
        <v>253</v>
      </c>
      <c r="O1" s="162" t="s">
        <v>24</v>
      </c>
      <c r="P1" s="162"/>
      <c r="Q1" s="164"/>
      <c r="R1" s="162"/>
      <c r="S1" s="164"/>
      <c r="T1" s="164"/>
      <c r="U1" s="164"/>
      <c r="V1" s="164"/>
      <c r="W1" s="164"/>
      <c r="X1" s="164"/>
      <c r="Y1" s="164"/>
      <c r="Z1" s="164"/>
    </row>
    <row r="2" spans="1:26" ht="15.75" customHeight="1" x14ac:dyDescent="0.15">
      <c r="A2" s="2"/>
      <c r="B2" s="2"/>
      <c r="C2" s="2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2"/>
      <c r="P2" s="2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.75" customHeight="1" x14ac:dyDescent="0.15">
      <c r="A3" s="2"/>
      <c r="B3" s="2" t="s">
        <v>231</v>
      </c>
      <c r="C3" s="73" t="s">
        <v>255</v>
      </c>
      <c r="D3" s="166">
        <v>500</v>
      </c>
      <c r="E3" s="165">
        <v>8</v>
      </c>
      <c r="F3" s="165">
        <v>16</v>
      </c>
      <c r="G3" s="165">
        <v>2100</v>
      </c>
      <c r="H3" s="165">
        <v>2700</v>
      </c>
      <c r="I3" s="165">
        <v>2</v>
      </c>
      <c r="J3" s="165">
        <f>8*0.256</f>
        <v>2.048</v>
      </c>
      <c r="K3" s="165">
        <v>12</v>
      </c>
      <c r="L3" s="165"/>
      <c r="M3" s="165">
        <v>128</v>
      </c>
      <c r="N3" s="165">
        <v>45</v>
      </c>
      <c r="O3" s="167" t="str">
        <f>HYPERLINK("https://cpubenchmark.net/cpu.php?cpu=Intel+Xeon+D-1541+%40+2.10GHz&amp;id=2718","11909")</f>
        <v>11909</v>
      </c>
      <c r="P3" s="168" t="str">
        <f>HYPERLINK("http://www.cpu-world.com/CPUs/Xeon_D/Intel-Xeon%20D-1541.html","info")</f>
        <v>info</v>
      </c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5.75" customHeight="1" x14ac:dyDescent="0.15">
      <c r="A4" s="2"/>
      <c r="B4" s="2" t="s">
        <v>231</v>
      </c>
      <c r="C4" s="73" t="s">
        <v>258</v>
      </c>
      <c r="D4" s="166">
        <v>1500</v>
      </c>
      <c r="E4" s="165">
        <v>16</v>
      </c>
      <c r="F4" s="165">
        <v>32</v>
      </c>
      <c r="G4" s="165">
        <v>1800</v>
      </c>
      <c r="H4" s="165">
        <v>2400</v>
      </c>
      <c r="I4" s="165">
        <v>2</v>
      </c>
      <c r="J4" s="165">
        <f>16*0.256</f>
        <v>4.0960000000000001</v>
      </c>
      <c r="K4" s="165">
        <v>24</v>
      </c>
      <c r="L4" s="165"/>
      <c r="M4" s="165">
        <v>128</v>
      </c>
      <c r="N4" s="165">
        <v>60</v>
      </c>
      <c r="O4" s="169">
        <f>O3/H14*H15</f>
        <v>20840.75</v>
      </c>
      <c r="P4" s="2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15.75" customHeight="1" x14ac:dyDescent="0.15">
      <c r="A5" s="170"/>
      <c r="B5" s="170" t="s">
        <v>262</v>
      </c>
      <c r="C5" s="73" t="s">
        <v>263</v>
      </c>
      <c r="D5" s="166">
        <v>430</v>
      </c>
      <c r="E5" s="165">
        <v>6</v>
      </c>
      <c r="F5" s="165">
        <v>12</v>
      </c>
      <c r="G5" s="165">
        <v>2100</v>
      </c>
      <c r="H5" s="165">
        <v>3000</v>
      </c>
      <c r="I5" s="165">
        <v>4</v>
      </c>
      <c r="J5" s="165">
        <f>8*0.256</f>
        <v>2.048</v>
      </c>
      <c r="K5" s="165">
        <v>20</v>
      </c>
      <c r="L5" s="165">
        <v>68</v>
      </c>
      <c r="M5" s="165">
        <v>1536</v>
      </c>
      <c r="N5" s="165">
        <v>85</v>
      </c>
      <c r="O5" s="172">
        <v>11000</v>
      </c>
      <c r="P5" s="2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15.75" customHeight="1" x14ac:dyDescent="0.15">
      <c r="A6" s="170"/>
      <c r="B6" s="170" t="s">
        <v>267</v>
      </c>
      <c r="C6" s="73" t="s">
        <v>268</v>
      </c>
      <c r="D6" s="166">
        <v>670</v>
      </c>
      <c r="E6" s="165">
        <v>10</v>
      </c>
      <c r="F6" s="165">
        <v>20</v>
      </c>
      <c r="G6" s="165">
        <v>2400</v>
      </c>
      <c r="H6" s="165">
        <v>3100</v>
      </c>
      <c r="I6" s="165">
        <v>4</v>
      </c>
      <c r="J6" s="165">
        <f t="shared" ref="J6:J7" si="0">10*0.256</f>
        <v>2.56</v>
      </c>
      <c r="K6" s="165">
        <v>25</v>
      </c>
      <c r="L6" s="165">
        <v>68.3</v>
      </c>
      <c r="M6" s="165">
        <v>1536</v>
      </c>
      <c r="N6" s="165">
        <v>85</v>
      </c>
      <c r="O6" s="169">
        <v>14900</v>
      </c>
      <c r="P6" s="168" t="str">
        <f>HYPERLINK("http://www.cpu-world.com/CPUs/Xeon/Intel-Xeon%20E5-2630%20v4.html","link")</f>
        <v>link</v>
      </c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15.75" customHeight="1" x14ac:dyDescent="0.15">
      <c r="A7" s="2"/>
      <c r="B7" s="2" t="s">
        <v>231</v>
      </c>
      <c r="C7" s="73" t="s">
        <v>269</v>
      </c>
      <c r="D7" s="166">
        <v>1200</v>
      </c>
      <c r="E7" s="165">
        <v>12</v>
      </c>
      <c r="F7" s="165">
        <v>24</v>
      </c>
      <c r="G7" s="165">
        <v>2400</v>
      </c>
      <c r="H7" s="165">
        <v>3400</v>
      </c>
      <c r="I7" s="165">
        <v>4</v>
      </c>
      <c r="J7" s="165">
        <f t="shared" si="0"/>
        <v>2.56</v>
      </c>
      <c r="K7" s="165">
        <v>25</v>
      </c>
      <c r="L7" s="165">
        <v>68.3</v>
      </c>
      <c r="M7" s="165">
        <v>1536</v>
      </c>
      <c r="N7" s="165">
        <v>90</v>
      </c>
      <c r="O7" s="172">
        <v>16000</v>
      </c>
      <c r="P7" s="168" t="str">
        <f>HYPERLINK("http://www.cpu-world.com/CPUs/Xeon/Intel-Xeon%20E5-2650%20v4.html","link")</f>
        <v>link</v>
      </c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15.75" customHeight="1" x14ac:dyDescent="0.15">
      <c r="A8" s="170"/>
      <c r="B8" s="170" t="s">
        <v>83</v>
      </c>
      <c r="C8" s="73" t="s">
        <v>272</v>
      </c>
      <c r="D8" s="166">
        <v>1650.0000000000002</v>
      </c>
      <c r="E8" s="165">
        <v>14</v>
      </c>
      <c r="F8" s="165">
        <v>28</v>
      </c>
      <c r="G8" s="165">
        <v>2000</v>
      </c>
      <c r="H8" s="165">
        <v>3200</v>
      </c>
      <c r="I8" s="165">
        <v>4</v>
      </c>
      <c r="J8" s="165">
        <f t="shared" ref="J8:J9" si="1">14*0.256</f>
        <v>3.5840000000000001</v>
      </c>
      <c r="K8" s="165">
        <v>35</v>
      </c>
      <c r="L8" s="165">
        <v>76.8</v>
      </c>
      <c r="M8" s="165">
        <v>1536</v>
      </c>
      <c r="N8" s="165">
        <v>105</v>
      </c>
      <c r="O8" s="173">
        <f>O9*0.9</f>
        <v>19303.2</v>
      </c>
      <c r="P8" s="168" t="str">
        <f>HYPERLINK("http://www.cpu-world.com/CPUs/Xeon/Intel-Xeon%20E5-2660%20v4.html","link")</f>
        <v>link</v>
      </c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5.75" customHeight="1" x14ac:dyDescent="0.15">
      <c r="A9" s="170"/>
      <c r="B9" s="170" t="s">
        <v>275</v>
      </c>
      <c r="C9" s="73" t="s">
        <v>276</v>
      </c>
      <c r="D9" s="166">
        <v>2186.8000000000002</v>
      </c>
      <c r="E9" s="165">
        <v>14</v>
      </c>
      <c r="F9" s="165">
        <v>28</v>
      </c>
      <c r="G9" s="165">
        <v>2400</v>
      </c>
      <c r="H9" s="165">
        <v>3400</v>
      </c>
      <c r="I9" s="165">
        <v>4</v>
      </c>
      <c r="J9" s="165">
        <f t="shared" si="1"/>
        <v>3.5840000000000001</v>
      </c>
      <c r="K9" s="165">
        <v>35</v>
      </c>
      <c r="L9" s="165">
        <v>76.8</v>
      </c>
      <c r="M9" s="165">
        <v>1536</v>
      </c>
      <c r="N9" s="165">
        <v>120</v>
      </c>
      <c r="O9" s="169">
        <v>21448</v>
      </c>
      <c r="P9" s="168" t="str">
        <f>HYPERLINK("http://www.cpu-world.com/CPUs/Xeon/Intel-Xeon%20E5-2680%20v4.html","link")</f>
        <v>link</v>
      </c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15.75" customHeight="1" x14ac:dyDescent="0.15">
      <c r="A10" s="2"/>
      <c r="B10" s="2" t="s">
        <v>231</v>
      </c>
      <c r="C10" s="73" t="s">
        <v>280</v>
      </c>
      <c r="D10" s="166">
        <v>4526.5</v>
      </c>
      <c r="E10" s="165">
        <v>22</v>
      </c>
      <c r="F10" s="165">
        <v>44</v>
      </c>
      <c r="G10" s="165">
        <v>2200</v>
      </c>
      <c r="H10" s="165">
        <v>3600</v>
      </c>
      <c r="I10" s="165">
        <v>4</v>
      </c>
      <c r="J10" s="165">
        <f>22*0.256</f>
        <v>5.6319999999999997</v>
      </c>
      <c r="K10" s="165">
        <v>55</v>
      </c>
      <c r="L10" s="165">
        <v>76.8</v>
      </c>
      <c r="M10" s="165">
        <v>1536</v>
      </c>
      <c r="N10" s="165">
        <v>145</v>
      </c>
      <c r="O10" s="169">
        <v>21277</v>
      </c>
      <c r="P10" s="168" t="str">
        <f>HYPERLINK("http://www.cpu-world.com/CPUs/Xeon/Intel-Xeon%20E5-2699%20v4.html","link")</f>
        <v>link</v>
      </c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ht="15.75" customHeight="1" x14ac:dyDescent="0.15">
      <c r="A11" s="170"/>
      <c r="B11" s="170" t="s">
        <v>283</v>
      </c>
      <c r="C11" s="73" t="s">
        <v>284</v>
      </c>
      <c r="D11" s="166">
        <v>200</v>
      </c>
      <c r="E11" s="165">
        <v>4</v>
      </c>
      <c r="F11" s="165">
        <v>4</v>
      </c>
      <c r="G11" s="165">
        <v>3100</v>
      </c>
      <c r="H11" s="165">
        <v>3300</v>
      </c>
      <c r="I11" s="165">
        <v>2</v>
      </c>
      <c r="J11" s="165">
        <f>4*0.256</f>
        <v>1.024</v>
      </c>
      <c r="K11" s="165">
        <v>8</v>
      </c>
      <c r="L11" s="165">
        <v>25.6</v>
      </c>
      <c r="M11" s="165">
        <v>32</v>
      </c>
      <c r="N11" s="165">
        <v>80</v>
      </c>
      <c r="O11" s="169">
        <v>6500</v>
      </c>
      <c r="P11" s="168" t="str">
        <f>HYPERLINK("http://www.cpu-world.com/CPUs/Xeon/Intel-Xeon%20E3-1220%20v3.html","info")</f>
        <v>info</v>
      </c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15.75" customHeight="1" x14ac:dyDescent="0.15">
      <c r="A12" s="2"/>
      <c r="B12" s="2"/>
      <c r="C12" s="2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2"/>
      <c r="P12" s="2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.75" customHeight="1" x14ac:dyDescent="0.15">
      <c r="A13" s="2"/>
      <c r="B13" s="162" t="s">
        <v>285</v>
      </c>
      <c r="C13" s="168" t="str">
        <f>HYPERLINK("http://www.cpubenchmark.net/CPU_mega_page.html","Passmark List")</f>
        <v>Passmark List</v>
      </c>
      <c r="D13" s="165"/>
      <c r="E13" s="163" t="s">
        <v>157</v>
      </c>
      <c r="F13" s="163" t="s">
        <v>286</v>
      </c>
      <c r="G13" s="174" t="s">
        <v>287</v>
      </c>
      <c r="H13" s="163" t="s">
        <v>288</v>
      </c>
      <c r="I13" s="163" t="s">
        <v>289</v>
      </c>
      <c r="J13" s="163" t="s">
        <v>290</v>
      </c>
      <c r="K13" s="163" t="s">
        <v>291</v>
      </c>
      <c r="L13" s="163" t="s">
        <v>292</v>
      </c>
      <c r="M13" s="163" t="s">
        <v>293</v>
      </c>
      <c r="N13" s="165"/>
      <c r="O13" s="2"/>
      <c r="P13" s="2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.75" customHeight="1" x14ac:dyDescent="0.15">
      <c r="A14" s="2"/>
      <c r="B14" s="73"/>
      <c r="C14" s="73" t="str">
        <f t="shared" ref="C14:D14" si="2">C3</f>
        <v>Intel Xeon D-1541</v>
      </c>
      <c r="D14" s="176">
        <f t="shared" si="2"/>
        <v>500</v>
      </c>
      <c r="E14" s="167" t="str">
        <f t="shared" ref="E14:E22" si="3">O3</f>
        <v>11909</v>
      </c>
      <c r="F14" s="169">
        <v>1505</v>
      </c>
      <c r="G14" s="2">
        <f t="shared" ref="G14:G22" si="4">G3</f>
        <v>2100</v>
      </c>
      <c r="H14" s="169">
        <f t="shared" ref="H14:H22" si="5">(G3+H3)/2*F3</f>
        <v>38400</v>
      </c>
      <c r="I14" s="176">
        <f t="shared" ref="I14:I22" si="6">D3/H14*1000</f>
        <v>13.020833333333334</v>
      </c>
      <c r="J14" s="176">
        <v>500</v>
      </c>
      <c r="K14" s="165">
        <v>1</v>
      </c>
      <c r="L14" s="166">
        <f t="shared" ref="L14:L22" si="7">(J14+D14*K14)/(E14*K14)*1000</f>
        <v>83.970106642035446</v>
      </c>
      <c r="M14" s="179">
        <f t="shared" ref="M14:M22" si="8">H14/E14</f>
        <v>3.2244520950541609</v>
      </c>
      <c r="N14" s="165"/>
      <c r="O14" s="2"/>
      <c r="P14" s="2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.75" customHeight="1" x14ac:dyDescent="0.15">
      <c r="A15" s="2"/>
      <c r="B15" s="73"/>
      <c r="C15" s="73" t="str">
        <f t="shared" ref="C15:D15" si="9">C4</f>
        <v>Intel Xeon D-1581</v>
      </c>
      <c r="D15" s="176">
        <f t="shared" si="9"/>
        <v>1500</v>
      </c>
      <c r="E15" s="111">
        <f t="shared" si="3"/>
        <v>20840.75</v>
      </c>
      <c r="F15" s="169"/>
      <c r="G15" s="2">
        <f t="shared" si="4"/>
        <v>1800</v>
      </c>
      <c r="H15" s="169">
        <f t="shared" si="5"/>
        <v>67200</v>
      </c>
      <c r="I15" s="176">
        <f t="shared" si="6"/>
        <v>22.321428571428573</v>
      </c>
      <c r="J15" s="176">
        <v>500</v>
      </c>
      <c r="K15" s="165">
        <v>1</v>
      </c>
      <c r="L15" s="166">
        <f t="shared" si="7"/>
        <v>95.965836162326212</v>
      </c>
      <c r="M15" s="179">
        <f t="shared" si="8"/>
        <v>3.2244520950541609</v>
      </c>
      <c r="N15" s="165"/>
      <c r="O15" s="2"/>
      <c r="P15" s="2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.75" customHeight="1" x14ac:dyDescent="0.15">
      <c r="A16" s="170"/>
      <c r="B16" s="73"/>
      <c r="C16" s="73" t="str">
        <f t="shared" ref="C16:D16" si="10">C5</f>
        <v>Intel Xeon E5-2620 v4 (C16 2100)</v>
      </c>
      <c r="D16" s="176">
        <f t="shared" si="10"/>
        <v>430</v>
      </c>
      <c r="E16" s="111">
        <f t="shared" si="3"/>
        <v>11000</v>
      </c>
      <c r="F16" s="173">
        <v>1120</v>
      </c>
      <c r="G16" s="2">
        <f t="shared" si="4"/>
        <v>2100</v>
      </c>
      <c r="H16" s="169">
        <f t="shared" si="5"/>
        <v>30600</v>
      </c>
      <c r="I16" s="176">
        <f t="shared" si="6"/>
        <v>14.052287581699346</v>
      </c>
      <c r="J16" s="176">
        <v>500</v>
      </c>
      <c r="K16" s="179">
        <v>1.8</v>
      </c>
      <c r="L16" s="166">
        <f t="shared" si="7"/>
        <v>64.343434343434339</v>
      </c>
      <c r="M16" s="179">
        <f t="shared" si="8"/>
        <v>2.7818181818181817</v>
      </c>
      <c r="N16" s="165"/>
      <c r="O16" s="2"/>
      <c r="P16" s="2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.75" customHeight="1" x14ac:dyDescent="0.15">
      <c r="A17" s="170"/>
      <c r="B17" s="73"/>
      <c r="C17" s="73" t="str">
        <f t="shared" ref="C17:D17" si="11">C6</f>
        <v>Intel Xeon E5-2630 v4 (20C 2400)</v>
      </c>
      <c r="D17" s="176">
        <f t="shared" si="11"/>
        <v>670</v>
      </c>
      <c r="E17" s="111">
        <f t="shared" si="3"/>
        <v>14900</v>
      </c>
      <c r="F17" s="169"/>
      <c r="G17" s="2">
        <f t="shared" si="4"/>
        <v>2400</v>
      </c>
      <c r="H17" s="169">
        <f t="shared" si="5"/>
        <v>55000</v>
      </c>
      <c r="I17" s="176">
        <f t="shared" si="6"/>
        <v>12.181818181818183</v>
      </c>
      <c r="J17" s="176">
        <v>800</v>
      </c>
      <c r="K17" s="179">
        <v>1.8</v>
      </c>
      <c r="L17" s="166">
        <f t="shared" si="7"/>
        <v>74.794929157345251</v>
      </c>
      <c r="M17" s="179">
        <f t="shared" si="8"/>
        <v>3.6912751677852347</v>
      </c>
      <c r="N17" s="165"/>
      <c r="O17" s="2"/>
      <c r="P17" s="2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.75" customHeight="1" x14ac:dyDescent="0.15">
      <c r="A18" s="2"/>
      <c r="B18" s="73"/>
      <c r="C18" s="73" t="str">
        <f t="shared" ref="C18:D18" si="12">C7</f>
        <v>Intel Xeon E5-2650 v4 (24C 2400)</v>
      </c>
      <c r="D18" s="176">
        <f t="shared" si="12"/>
        <v>1200</v>
      </c>
      <c r="E18" s="111">
        <f t="shared" si="3"/>
        <v>16000</v>
      </c>
      <c r="F18" s="169">
        <v>1860</v>
      </c>
      <c r="G18" s="2">
        <f t="shared" si="4"/>
        <v>2400</v>
      </c>
      <c r="H18" s="169">
        <f t="shared" si="5"/>
        <v>69600</v>
      </c>
      <c r="I18" s="176">
        <f t="shared" si="6"/>
        <v>17.241379310344826</v>
      </c>
      <c r="J18" s="176">
        <v>800</v>
      </c>
      <c r="K18" s="179">
        <v>1.8</v>
      </c>
      <c r="L18" s="166">
        <f t="shared" si="7"/>
        <v>102.77777777777777</v>
      </c>
      <c r="M18" s="179">
        <f t="shared" si="8"/>
        <v>4.3499999999999996</v>
      </c>
      <c r="N18" s="165"/>
      <c r="O18" s="2"/>
      <c r="P18" s="2"/>
      <c r="Q18" s="164"/>
      <c r="R18" s="164"/>
      <c r="S18" s="164"/>
      <c r="T18" s="164"/>
      <c r="U18" s="164"/>
      <c r="V18" s="164"/>
      <c r="W18" s="164"/>
      <c r="X18" s="164"/>
      <c r="Y18" s="164"/>
      <c r="Z18" s="164"/>
    </row>
    <row r="19" spans="1:26" ht="15.75" customHeight="1" x14ac:dyDescent="0.15">
      <c r="A19" s="170"/>
      <c r="B19" s="73"/>
      <c r="C19" s="73" t="str">
        <f t="shared" ref="C19:D19" si="13">C8</f>
        <v>Intel Xeon E5-2660 v4 (28C 2000)</v>
      </c>
      <c r="D19" s="176">
        <f t="shared" si="13"/>
        <v>1650.0000000000002</v>
      </c>
      <c r="E19" s="111">
        <f t="shared" si="3"/>
        <v>19303.2</v>
      </c>
      <c r="F19" s="169">
        <f>F20*0.9</f>
        <v>1707.3</v>
      </c>
      <c r="G19" s="2">
        <f t="shared" si="4"/>
        <v>2000</v>
      </c>
      <c r="H19" s="169">
        <f t="shared" si="5"/>
        <v>72800</v>
      </c>
      <c r="I19" s="176">
        <f t="shared" si="6"/>
        <v>22.664835164835168</v>
      </c>
      <c r="J19" s="176">
        <v>1000</v>
      </c>
      <c r="K19" s="179">
        <v>1.8</v>
      </c>
      <c r="L19" s="166">
        <f t="shared" si="7"/>
        <v>114.25854550310599</v>
      </c>
      <c r="M19" s="179">
        <f t="shared" si="8"/>
        <v>3.7713954163040322</v>
      </c>
      <c r="N19" s="165"/>
      <c r="O19" s="2"/>
      <c r="P19" s="2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5.75" customHeight="1" x14ac:dyDescent="0.15">
      <c r="A20" s="170"/>
      <c r="B20" s="73"/>
      <c r="C20" s="73" t="str">
        <f t="shared" ref="C20:D20" si="14">C9</f>
        <v>Intel Xeon E5-2680 v4 (28C 2400)</v>
      </c>
      <c r="D20" s="176">
        <f t="shared" si="14"/>
        <v>2186.8000000000002</v>
      </c>
      <c r="E20" s="111">
        <f t="shared" si="3"/>
        <v>21448</v>
      </c>
      <c r="F20" s="169">
        <v>1897</v>
      </c>
      <c r="G20" s="2">
        <f t="shared" si="4"/>
        <v>2400</v>
      </c>
      <c r="H20" s="169">
        <f t="shared" si="5"/>
        <v>81200</v>
      </c>
      <c r="I20" s="176">
        <f t="shared" si="6"/>
        <v>26.931034482758623</v>
      </c>
      <c r="J20" s="176">
        <v>1000</v>
      </c>
      <c r="K20" s="179">
        <v>1.8</v>
      </c>
      <c r="L20" s="166">
        <f t="shared" si="7"/>
        <v>127.86066558912512</v>
      </c>
      <c r="M20" s="179">
        <f t="shared" si="8"/>
        <v>3.7859007832898173</v>
      </c>
      <c r="N20" s="165"/>
      <c r="O20" s="2"/>
      <c r="P20" s="2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15.75" customHeight="1" x14ac:dyDescent="0.15">
      <c r="A21" s="2"/>
      <c r="B21" s="73"/>
      <c r="C21" s="73" t="str">
        <f t="shared" ref="C21:D21" si="15">C10</f>
        <v>Intel Xeon E5-2699 v4 (44C 2200)</v>
      </c>
      <c r="D21" s="176">
        <f t="shared" si="15"/>
        <v>4526.5</v>
      </c>
      <c r="E21" s="111">
        <f t="shared" si="3"/>
        <v>21277</v>
      </c>
      <c r="F21" s="169">
        <v>1674</v>
      </c>
      <c r="G21" s="2">
        <f t="shared" si="4"/>
        <v>2200</v>
      </c>
      <c r="H21" s="169">
        <f t="shared" si="5"/>
        <v>127600</v>
      </c>
      <c r="I21" s="176">
        <f t="shared" si="6"/>
        <v>35.474137931034484</v>
      </c>
      <c r="J21" s="176">
        <v>1000</v>
      </c>
      <c r="K21" s="179">
        <v>1.8</v>
      </c>
      <c r="L21" s="166">
        <f t="shared" si="7"/>
        <v>238.85207292172564</v>
      </c>
      <c r="M21" s="179">
        <f t="shared" si="8"/>
        <v>5.9970860553649477</v>
      </c>
      <c r="N21" s="165"/>
      <c r="O21" s="2"/>
      <c r="P21" s="2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 ht="15.75" customHeight="1" x14ac:dyDescent="0.15">
      <c r="A22" s="170"/>
      <c r="B22" s="73"/>
      <c r="C22" s="73" t="str">
        <f t="shared" ref="C22:D22" si="16">C11</f>
        <v>Intel E3 1220 v3</v>
      </c>
      <c r="D22" s="176">
        <f t="shared" si="16"/>
        <v>200</v>
      </c>
      <c r="E22" s="111">
        <f t="shared" si="3"/>
        <v>6500</v>
      </c>
      <c r="F22" s="169">
        <v>829</v>
      </c>
      <c r="G22" s="2">
        <f t="shared" si="4"/>
        <v>3100</v>
      </c>
      <c r="H22" s="169">
        <f t="shared" si="5"/>
        <v>12800</v>
      </c>
      <c r="I22" s="176">
        <f t="shared" si="6"/>
        <v>15.625</v>
      </c>
      <c r="J22" s="176">
        <v>200</v>
      </c>
      <c r="K22" s="165">
        <v>1</v>
      </c>
      <c r="L22" s="166">
        <f t="shared" si="7"/>
        <v>61.53846153846154</v>
      </c>
      <c r="M22" s="179">
        <f t="shared" si="8"/>
        <v>1.9692307692307693</v>
      </c>
      <c r="N22" s="165"/>
      <c r="O22" s="2"/>
      <c r="P22" s="2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 ht="15.75" customHeight="1" x14ac:dyDescent="0.15">
      <c r="A23" s="2"/>
      <c r="B23" s="2"/>
      <c r="C23" s="2"/>
      <c r="D23" s="165"/>
      <c r="E23" s="165"/>
      <c r="F23" s="2"/>
      <c r="G23" s="165"/>
      <c r="H23" s="165"/>
      <c r="I23" s="165"/>
      <c r="J23" s="165"/>
      <c r="K23" s="165"/>
      <c r="L23" s="165"/>
      <c r="M23" s="165"/>
      <c r="N23" s="165"/>
      <c r="O23" s="2"/>
      <c r="P23" s="2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.75" customHeight="1" x14ac:dyDescent="0.15">
      <c r="A24" s="2"/>
      <c r="B24" s="2"/>
      <c r="C24" s="2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2"/>
      <c r="P24" s="2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5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5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5.75" customHeight="1" x14ac:dyDescent="0.15"/>
    <row r="224" spans="1:26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23</vt:i4>
      </vt:variant>
    </vt:vector>
  </HeadingPairs>
  <TitlesOfParts>
    <vt:vector size="30" baseType="lpstr">
      <vt:lpstr>Params</vt:lpstr>
      <vt:lpstr>GIG COST</vt:lpstr>
      <vt:lpstr>Cloud Unit Definitions</vt:lpstr>
      <vt:lpstr>CloudUnits Capacity</vt:lpstr>
      <vt:lpstr>CALCULATION</vt:lpstr>
      <vt:lpstr>COMPONENTS</vt:lpstr>
      <vt:lpstr>CPU</vt:lpstr>
      <vt:lpstr>Chassis_Type</vt:lpstr>
      <vt:lpstr>'GIG COST'!costmulti</vt:lpstr>
      <vt:lpstr>CUSTNAME</vt:lpstr>
      <vt:lpstr>GIGEXCHANGE</vt:lpstr>
      <vt:lpstr>HDD_RAWtoNET</vt:lpstr>
      <vt:lpstr>MEM_CPU_pctPer1TStorage</vt:lpstr>
      <vt:lpstr>NORM_GIG_COST_COMPUTE</vt:lpstr>
      <vt:lpstr>NORM_GIG_COST_NETWORK</vt:lpstr>
      <vt:lpstr>NORM_GIG_COST_OVERHEAD</vt:lpstr>
      <vt:lpstr>NORM_GIG_COST_SAN</vt:lpstr>
      <vt:lpstr>NORM_GIG_COST_STORAGE</vt:lpstr>
      <vt:lpstr>NR_SSD</vt:lpstr>
      <vt:lpstr>percTU</vt:lpstr>
      <vt:lpstr>POWERCOST</vt:lpstr>
      <vt:lpstr>RACKCOST</vt:lpstr>
      <vt:lpstr>SPARE</vt:lpstr>
      <vt:lpstr>SSD_RAWtoNET</vt:lpstr>
      <vt:lpstr>TBBW</vt:lpstr>
      <vt:lpstr>TOT_CORES</vt:lpstr>
      <vt:lpstr>TOT_MEM</vt:lpstr>
      <vt:lpstr>TOT_PASSMARK</vt:lpstr>
      <vt:lpstr>TOT_SSD</vt:lpstr>
      <vt:lpstr>TOT_STOR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Jurgen Hofkens</cp:lastModifiedBy>
  <dcterms:created xsi:type="dcterms:W3CDTF">2020-05-13T15:11:58Z</dcterms:created>
  <dcterms:modified xsi:type="dcterms:W3CDTF">2020-05-13T15:11:58Z</dcterms:modified>
</cp:coreProperties>
</file>